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nnaMac/Downloads/"/>
    </mc:Choice>
  </mc:AlternateContent>
  <xr:revisionPtr revIDLastSave="0" documentId="13_ncr:1_{D9A1CC18-B1E7-4345-BA7B-000729DDC734}" xr6:coauthVersionLast="31" xr6:coauthVersionMax="31" xr10:uidLastSave="{00000000-0000-0000-0000-000000000000}"/>
  <bookViews>
    <workbookView xWindow="1440" yWindow="460" windowWidth="15300" windowHeight="13100" xr2:uid="{00000000-000D-0000-FFFF-FFFF00000000}"/>
  </bookViews>
  <sheets>
    <sheet name="Trial Balance" sheetId="4" r:id="rId1"/>
  </sheets>
  <definedNames>
    <definedName name="_xlnm.Print_Area" localSheetId="0">'Trial Balance'!$A$1:$AF$440</definedName>
    <definedName name="_xlnm.Print_Titles" localSheetId="0">'Trial Balance'!$1:$4</definedName>
  </definedNames>
  <calcPr calcId="179017"/>
</workbook>
</file>

<file path=xl/calcChain.xml><?xml version="1.0" encoding="utf-8"?>
<calcChain xmlns="http://schemas.openxmlformats.org/spreadsheetml/2006/main">
  <c r="O7" i="4" l="1"/>
  <c r="P7" i="4"/>
  <c r="R7" i="4"/>
  <c r="U7" i="4"/>
  <c r="Y7" i="4" s="1"/>
  <c r="O8" i="4"/>
  <c r="U8" i="4"/>
  <c r="Y8" i="4" s="1"/>
  <c r="O9" i="4"/>
  <c r="U9" i="4"/>
  <c r="O10" i="4"/>
  <c r="U10" i="4"/>
  <c r="O12" i="4"/>
  <c r="U12" i="4"/>
  <c r="Y12" i="4" s="1"/>
  <c r="O14" i="4"/>
  <c r="U14" i="4"/>
  <c r="O15" i="4"/>
  <c r="P15" i="4"/>
  <c r="U15" i="4"/>
  <c r="Y15" i="4" s="1"/>
  <c r="O16" i="4"/>
  <c r="P16" i="4"/>
  <c r="U16" i="4"/>
  <c r="Y16" i="4" s="1"/>
  <c r="O17" i="4"/>
  <c r="U17" i="4"/>
  <c r="Y17" i="4" s="1"/>
  <c r="O18" i="4"/>
  <c r="U18" i="4"/>
  <c r="Y18" i="4" s="1"/>
  <c r="O19" i="4"/>
  <c r="U19" i="4"/>
  <c r="Y19" i="4" s="1"/>
  <c r="O21" i="4"/>
  <c r="G22" i="4"/>
  <c r="H22" i="4"/>
  <c r="O22" i="4"/>
  <c r="P22" i="4"/>
  <c r="G23" i="4"/>
  <c r="H23" i="4"/>
  <c r="O23" i="4"/>
  <c r="G24" i="4"/>
  <c r="H24" i="4"/>
  <c r="Y24" i="4" s="1"/>
  <c r="O24" i="4"/>
  <c r="P24" i="4"/>
  <c r="H25" i="4"/>
  <c r="Y25" i="4" s="1"/>
  <c r="O25" i="4"/>
  <c r="P25" i="4"/>
  <c r="R25" i="4"/>
  <c r="W25" i="4"/>
  <c r="O29" i="4"/>
  <c r="U29" i="4"/>
  <c r="Y29" i="4" s="1"/>
  <c r="O30" i="4"/>
  <c r="P30" i="4"/>
  <c r="R30" i="4"/>
  <c r="U30" i="4"/>
  <c r="Y30" i="4" s="1"/>
  <c r="O31" i="4"/>
  <c r="U31" i="4"/>
  <c r="Y31" i="4" s="1"/>
  <c r="O32" i="4"/>
  <c r="R32" i="4"/>
  <c r="U32" i="4"/>
  <c r="Y32" i="4" s="1"/>
  <c r="O34" i="4"/>
  <c r="R34" i="4"/>
  <c r="U34" i="4"/>
  <c r="V34" i="4"/>
  <c r="O36" i="4"/>
  <c r="R36" i="4"/>
  <c r="O42" i="4"/>
  <c r="U42" i="4"/>
  <c r="O43" i="4"/>
  <c r="U43" i="4"/>
  <c r="Y43" i="4" s="1"/>
  <c r="G44" i="4"/>
  <c r="G47" i="4" s="1"/>
  <c r="G49" i="4" s="1"/>
  <c r="G51" i="4" s="1"/>
  <c r="J44" i="4"/>
  <c r="O44" i="4" s="1"/>
  <c r="U44" i="4"/>
  <c r="Y44" i="4" s="1"/>
  <c r="O45" i="4"/>
  <c r="P45" i="4"/>
  <c r="R45" i="4"/>
  <c r="U45" i="4"/>
  <c r="Y45" i="4" s="1"/>
  <c r="P46" i="4"/>
  <c r="U46" i="4"/>
  <c r="Y46" i="4" s="1"/>
  <c r="H47" i="4"/>
  <c r="H49" i="4" s="1"/>
  <c r="H51" i="4" s="1"/>
  <c r="K47" i="4"/>
  <c r="K49" i="4" s="1"/>
  <c r="Y47" i="4"/>
  <c r="O56" i="4"/>
  <c r="U56" i="4"/>
  <c r="Y56" i="4" s="1"/>
  <c r="V56" i="4"/>
  <c r="O57" i="4"/>
  <c r="U57" i="4"/>
  <c r="Y57" i="4" s="1"/>
  <c r="O58" i="4"/>
  <c r="U58" i="4"/>
  <c r="Y58" i="4" s="1"/>
  <c r="O59" i="4"/>
  <c r="U59" i="4"/>
  <c r="Y59" i="4" s="1"/>
  <c r="O60" i="4"/>
  <c r="J61" i="4"/>
  <c r="P61" i="4"/>
  <c r="P72" i="4" s="1"/>
  <c r="U61" i="4"/>
  <c r="Y61" i="4" s="1"/>
  <c r="V61" i="4"/>
  <c r="O62" i="4"/>
  <c r="R62" i="4"/>
  <c r="U62" i="4"/>
  <c r="Y62" i="4" s="1"/>
  <c r="O63" i="4"/>
  <c r="R63" i="4"/>
  <c r="Y63" i="4"/>
  <c r="O64" i="4"/>
  <c r="O65" i="4"/>
  <c r="U65" i="4"/>
  <c r="O66" i="4"/>
  <c r="U66" i="4"/>
  <c r="O67" i="4"/>
  <c r="U67" i="4"/>
  <c r="O68" i="4"/>
  <c r="U68" i="4"/>
  <c r="O69" i="4"/>
  <c r="U69" i="4"/>
  <c r="Y69" i="4" s="1"/>
  <c r="V69" i="4"/>
  <c r="O70" i="4"/>
  <c r="U70" i="4"/>
  <c r="Y70" i="4" s="1"/>
  <c r="O71" i="4"/>
  <c r="U71" i="4"/>
  <c r="Y71" i="4" s="1"/>
  <c r="G72" i="4"/>
  <c r="H72" i="4"/>
  <c r="K72" i="4"/>
  <c r="L72" i="4"/>
  <c r="M72" i="4"/>
  <c r="N72" i="4"/>
  <c r="Y72" i="4"/>
  <c r="G74" i="4"/>
  <c r="O74" i="4"/>
  <c r="U74" i="4"/>
  <c r="Y74" i="4" s="1"/>
  <c r="O75" i="4"/>
  <c r="U75" i="4"/>
  <c r="Y75" i="4" s="1"/>
  <c r="O76" i="4"/>
  <c r="U76" i="4"/>
  <c r="Y76" i="4" s="1"/>
  <c r="V76" i="4"/>
  <c r="O77" i="4"/>
  <c r="P77" i="4"/>
  <c r="U77" i="4"/>
  <c r="Y77" i="4" s="1"/>
  <c r="O78" i="4"/>
  <c r="U78" i="4"/>
  <c r="O79" i="4"/>
  <c r="U79" i="4"/>
  <c r="Y79" i="4" s="1"/>
  <c r="O80" i="4"/>
  <c r="U80" i="4"/>
  <c r="Y80" i="4" s="1"/>
  <c r="O81" i="4"/>
  <c r="J82" i="4"/>
  <c r="O83" i="4"/>
  <c r="U83" i="4"/>
  <c r="O84" i="4"/>
  <c r="U84" i="4"/>
  <c r="Y84" i="4" s="1"/>
  <c r="O85" i="4"/>
  <c r="U85" i="4"/>
  <c r="Y85" i="4" s="1"/>
  <c r="O86" i="4"/>
  <c r="U86" i="4"/>
  <c r="G87" i="4"/>
  <c r="H87" i="4"/>
  <c r="J87" i="4"/>
  <c r="K87" i="4"/>
  <c r="L87" i="4"/>
  <c r="M87" i="4"/>
  <c r="N87" i="4"/>
  <c r="P87" i="4"/>
  <c r="R87" i="4"/>
  <c r="U87" i="4"/>
  <c r="Y87" i="4" s="1"/>
  <c r="U88" i="4"/>
  <c r="O89" i="4"/>
  <c r="U89" i="4"/>
  <c r="O90" i="4"/>
  <c r="U90" i="4"/>
  <c r="Y90" i="4" s="1"/>
  <c r="O91" i="4"/>
  <c r="U91" i="4"/>
  <c r="O92" i="4"/>
  <c r="U92" i="4"/>
  <c r="Y92" i="4" s="1"/>
  <c r="O93" i="4"/>
  <c r="U93" i="4"/>
  <c r="Y93" i="4" s="1"/>
  <c r="O94" i="4"/>
  <c r="U94" i="4"/>
  <c r="Y94" i="4" s="1"/>
  <c r="O95" i="4"/>
  <c r="U95" i="4"/>
  <c r="Y95" i="4" s="1"/>
  <c r="O96" i="4"/>
  <c r="U96" i="4"/>
  <c r="O97" i="4"/>
  <c r="U97" i="4"/>
  <c r="Y97" i="4" s="1"/>
  <c r="O98" i="4"/>
  <c r="U98" i="4"/>
  <c r="Y98" i="4" s="1"/>
  <c r="O99" i="4"/>
  <c r="U99" i="4"/>
  <c r="Y99" i="4" s="1"/>
  <c r="O100" i="4"/>
  <c r="R100" i="4"/>
  <c r="U100" i="4"/>
  <c r="Y100" i="4" s="1"/>
  <c r="O101" i="4"/>
  <c r="U101" i="4"/>
  <c r="Y101" i="4" s="1"/>
  <c r="O102" i="4"/>
  <c r="U102" i="4"/>
  <c r="Y102" i="4" s="1"/>
  <c r="O103" i="4"/>
  <c r="U103" i="4"/>
  <c r="Y103" i="4" s="1"/>
  <c r="O104" i="4"/>
  <c r="P104" i="4"/>
  <c r="U104" i="4"/>
  <c r="Y104" i="4" s="1"/>
  <c r="O105" i="4"/>
  <c r="U105" i="4"/>
  <c r="O106" i="4"/>
  <c r="U106" i="4"/>
  <c r="Y106" i="4" s="1"/>
  <c r="O107" i="4"/>
  <c r="U107" i="4"/>
  <c r="Y107" i="4" s="1"/>
  <c r="O108" i="4"/>
  <c r="U108" i="4"/>
  <c r="Y108" i="4" s="1"/>
  <c r="O109" i="4"/>
  <c r="P109" i="4"/>
  <c r="R109" i="4"/>
  <c r="U109" i="4"/>
  <c r="Y109" i="4" s="1"/>
  <c r="O110" i="4"/>
  <c r="P110" i="4"/>
  <c r="R110" i="4"/>
  <c r="U110" i="4"/>
  <c r="Y110" i="4" s="1"/>
  <c r="O111" i="4"/>
  <c r="U111" i="4"/>
  <c r="Y111" i="4" s="1"/>
  <c r="O112" i="4"/>
  <c r="U112" i="4"/>
  <c r="Y112" i="4" s="1"/>
  <c r="O113" i="4"/>
  <c r="U113" i="4"/>
  <c r="Y113" i="4" s="1"/>
  <c r="O114" i="4"/>
  <c r="U114" i="4"/>
  <c r="O115" i="4"/>
  <c r="P115" i="4"/>
  <c r="U115" i="4"/>
  <c r="Y115" i="4" s="1"/>
  <c r="G116" i="4"/>
  <c r="H116" i="4"/>
  <c r="J116" i="4"/>
  <c r="K116" i="4"/>
  <c r="L116" i="4"/>
  <c r="M116" i="4"/>
  <c r="N116" i="4"/>
  <c r="U116" i="4"/>
  <c r="Y116" i="4" s="1"/>
  <c r="U117" i="4"/>
  <c r="Y117" i="4" s="1"/>
  <c r="U118" i="4"/>
  <c r="U119" i="4"/>
  <c r="O120" i="4"/>
  <c r="U120" i="4"/>
  <c r="O121" i="4"/>
  <c r="U121" i="4"/>
  <c r="Y121" i="4" s="1"/>
  <c r="O122" i="4"/>
  <c r="U122" i="4"/>
  <c r="Y122" i="4" s="1"/>
  <c r="O123" i="4"/>
  <c r="U123" i="4"/>
  <c r="Y123" i="4" s="1"/>
  <c r="O124" i="4"/>
  <c r="U124" i="4"/>
  <c r="O125" i="4"/>
  <c r="U125" i="4"/>
  <c r="Y125" i="4" s="1"/>
  <c r="O126" i="4"/>
  <c r="U126" i="4"/>
  <c r="Y126" i="4" s="1"/>
  <c r="O127" i="4"/>
  <c r="U127" i="4"/>
  <c r="Y127" i="4" s="1"/>
  <c r="O128" i="4"/>
  <c r="U128" i="4"/>
  <c r="Y128" i="4" s="1"/>
  <c r="O129" i="4"/>
  <c r="U129" i="4"/>
  <c r="Y129" i="4" s="1"/>
  <c r="O130" i="4"/>
  <c r="U130" i="4"/>
  <c r="Y130" i="4" s="1"/>
  <c r="O131" i="4"/>
  <c r="P131" i="4"/>
  <c r="P183" i="4" s="1"/>
  <c r="U131" i="4"/>
  <c r="Y131" i="4" s="1"/>
  <c r="O132" i="4"/>
  <c r="U132" i="4"/>
  <c r="Y132" i="4" s="1"/>
  <c r="O133" i="4"/>
  <c r="U133" i="4"/>
  <c r="Y133" i="4" s="1"/>
  <c r="O134" i="4"/>
  <c r="U134" i="4"/>
  <c r="Y134" i="4" s="1"/>
  <c r="O135" i="4"/>
  <c r="U135" i="4"/>
  <c r="Y135" i="4" s="1"/>
  <c r="O136" i="4"/>
  <c r="U136" i="4"/>
  <c r="Y136" i="4" s="1"/>
  <c r="O137" i="4"/>
  <c r="U137" i="4"/>
  <c r="Y137" i="4" s="1"/>
  <c r="O138" i="4"/>
  <c r="U138" i="4"/>
  <c r="Y138" i="4" s="1"/>
  <c r="O139" i="4"/>
  <c r="U139" i="4"/>
  <c r="Y139" i="4" s="1"/>
  <c r="O140" i="4"/>
  <c r="U140" i="4"/>
  <c r="Y140" i="4" s="1"/>
  <c r="O141" i="4"/>
  <c r="U141" i="4"/>
  <c r="Y141" i="4" s="1"/>
  <c r="O142" i="4"/>
  <c r="U142" i="4"/>
  <c r="Y142" i="4" s="1"/>
  <c r="O143" i="4"/>
  <c r="U143" i="4"/>
  <c r="Y143" i="4" s="1"/>
  <c r="O144" i="4"/>
  <c r="U144" i="4"/>
  <c r="Y144" i="4" s="1"/>
  <c r="O145" i="4"/>
  <c r="U145" i="4"/>
  <c r="Y145" i="4" s="1"/>
  <c r="O146" i="4"/>
  <c r="U146" i="4"/>
  <c r="Y146" i="4" s="1"/>
  <c r="O147" i="4"/>
  <c r="U147" i="4"/>
  <c r="Y147" i="4" s="1"/>
  <c r="O148" i="4"/>
  <c r="U148" i="4"/>
  <c r="Y148" i="4" s="1"/>
  <c r="O149" i="4"/>
  <c r="U149" i="4"/>
  <c r="Y149" i="4" s="1"/>
  <c r="O150" i="4"/>
  <c r="U150" i="4"/>
  <c r="Y150" i="4" s="1"/>
  <c r="O151" i="4"/>
  <c r="U151" i="4"/>
  <c r="Y151" i="4" s="1"/>
  <c r="O152" i="4"/>
  <c r="U152" i="4"/>
  <c r="Y152" i="4" s="1"/>
  <c r="O153" i="4"/>
  <c r="U153" i="4"/>
  <c r="Y153" i="4" s="1"/>
  <c r="O154" i="4"/>
  <c r="U154" i="4"/>
  <c r="Y154" i="4" s="1"/>
  <c r="O155" i="4"/>
  <c r="U155" i="4"/>
  <c r="Y155" i="4" s="1"/>
  <c r="O156" i="4"/>
  <c r="U156" i="4"/>
  <c r="Y156" i="4" s="1"/>
  <c r="O157" i="4"/>
  <c r="U157" i="4"/>
  <c r="Y157" i="4" s="1"/>
  <c r="O158" i="4"/>
  <c r="U158" i="4"/>
  <c r="Y158" i="4" s="1"/>
  <c r="O159" i="4"/>
  <c r="U159" i="4"/>
  <c r="Y159" i="4" s="1"/>
  <c r="O160" i="4"/>
  <c r="U160" i="4"/>
  <c r="Y160" i="4" s="1"/>
  <c r="O161" i="4"/>
  <c r="U161" i="4"/>
  <c r="Y161" i="4" s="1"/>
  <c r="O162" i="4"/>
  <c r="U162" i="4"/>
  <c r="Y162" i="4" s="1"/>
  <c r="O163" i="4"/>
  <c r="U163" i="4"/>
  <c r="Y163" i="4" s="1"/>
  <c r="O164" i="4"/>
  <c r="U164" i="4"/>
  <c r="Y164" i="4" s="1"/>
  <c r="O165" i="4"/>
  <c r="U165" i="4"/>
  <c r="O166" i="4"/>
  <c r="U166" i="4"/>
  <c r="Y166" i="4" s="1"/>
  <c r="O167" i="4"/>
  <c r="U167" i="4"/>
  <c r="Y167" i="4" s="1"/>
  <c r="O168" i="4"/>
  <c r="U168" i="4"/>
  <c r="Y168" i="4" s="1"/>
  <c r="O169" i="4"/>
  <c r="U169" i="4"/>
  <c r="Y169" i="4" s="1"/>
  <c r="O170" i="4"/>
  <c r="U170" i="4"/>
  <c r="O171" i="4"/>
  <c r="U171" i="4"/>
  <c r="O172" i="4"/>
  <c r="U172" i="4"/>
  <c r="O173" i="4"/>
  <c r="U173" i="4"/>
  <c r="O174" i="4"/>
  <c r="U174" i="4"/>
  <c r="O175" i="4"/>
  <c r="U175" i="4"/>
  <c r="O176" i="4"/>
  <c r="U176" i="4"/>
  <c r="Y176" i="4" s="1"/>
  <c r="O177" i="4"/>
  <c r="U177" i="4"/>
  <c r="Y177" i="4" s="1"/>
  <c r="O178" i="4"/>
  <c r="U178" i="4"/>
  <c r="Y178" i="4" s="1"/>
  <c r="O179" i="4"/>
  <c r="U179" i="4"/>
  <c r="Y179" i="4" s="1"/>
  <c r="O180" i="4"/>
  <c r="U180" i="4"/>
  <c r="O181" i="4"/>
  <c r="U181" i="4"/>
  <c r="O182" i="4"/>
  <c r="U182" i="4"/>
  <c r="G183" i="4"/>
  <c r="H183" i="4"/>
  <c r="J183" i="4"/>
  <c r="K183" i="4"/>
  <c r="L183" i="4"/>
  <c r="M183" i="4"/>
  <c r="N183" i="4"/>
  <c r="R183" i="4"/>
  <c r="U183" i="4"/>
  <c r="Y183" i="4" s="1"/>
  <c r="O184" i="4"/>
  <c r="U184" i="4"/>
  <c r="Y184" i="4" s="1"/>
  <c r="O185" i="4"/>
  <c r="Y185" i="4"/>
  <c r="O186" i="4"/>
  <c r="R186" i="4"/>
  <c r="R228" i="4" s="1"/>
  <c r="U186" i="4"/>
  <c r="O187" i="4"/>
  <c r="U187" i="4"/>
  <c r="Y187" i="4" s="1"/>
  <c r="O188" i="4"/>
  <c r="U188" i="4"/>
  <c r="Y188" i="4" s="1"/>
  <c r="O189" i="4"/>
  <c r="U189" i="4"/>
  <c r="Y189" i="4" s="1"/>
  <c r="O190" i="4"/>
  <c r="U190" i="4"/>
  <c r="Y190" i="4" s="1"/>
  <c r="O191" i="4"/>
  <c r="U191" i="4"/>
  <c r="Y191" i="4" s="1"/>
  <c r="O192" i="4"/>
  <c r="U192" i="4"/>
  <c r="Y192" i="4" s="1"/>
  <c r="O193" i="4"/>
  <c r="U193" i="4"/>
  <c r="Y193" i="4" s="1"/>
  <c r="O194" i="4"/>
  <c r="U194" i="4"/>
  <c r="Y194" i="4" s="1"/>
  <c r="O195" i="4"/>
  <c r="U195" i="4"/>
  <c r="Y195" i="4" s="1"/>
  <c r="O196" i="4"/>
  <c r="U196" i="4"/>
  <c r="Y196" i="4" s="1"/>
  <c r="O197" i="4"/>
  <c r="U197" i="4"/>
  <c r="Y197" i="4" s="1"/>
  <c r="O198" i="4"/>
  <c r="U198" i="4"/>
  <c r="Y198" i="4" s="1"/>
  <c r="O199" i="4"/>
  <c r="U199" i="4"/>
  <c r="O200" i="4"/>
  <c r="U200" i="4"/>
  <c r="Y200" i="4" s="1"/>
  <c r="O201" i="4"/>
  <c r="U201" i="4"/>
  <c r="Y201" i="4" s="1"/>
  <c r="O202" i="4"/>
  <c r="U202" i="4"/>
  <c r="Y202" i="4" s="1"/>
  <c r="O203" i="4"/>
  <c r="U203" i="4"/>
  <c r="Y203" i="4" s="1"/>
  <c r="O204" i="4"/>
  <c r="U204" i="4"/>
  <c r="Y204" i="4" s="1"/>
  <c r="O205" i="4"/>
  <c r="U205" i="4"/>
  <c r="Y205" i="4" s="1"/>
  <c r="O206" i="4"/>
  <c r="U206" i="4"/>
  <c r="Y206" i="4" s="1"/>
  <c r="O207" i="4"/>
  <c r="U207" i="4"/>
  <c r="Y207" i="4" s="1"/>
  <c r="O208" i="4"/>
  <c r="U208" i="4"/>
  <c r="Y208" i="4" s="1"/>
  <c r="O209" i="4"/>
  <c r="U209" i="4"/>
  <c r="O210" i="4"/>
  <c r="U210" i="4"/>
  <c r="Y210" i="4" s="1"/>
  <c r="O211" i="4"/>
  <c r="U211" i="4"/>
  <c r="Y211" i="4" s="1"/>
  <c r="O212" i="4"/>
  <c r="U212" i="4"/>
  <c r="Y212" i="4" s="1"/>
  <c r="O213" i="4"/>
  <c r="U213" i="4"/>
  <c r="Y213" i="4" s="1"/>
  <c r="O214" i="4"/>
  <c r="U214" i="4"/>
  <c r="Y214" i="4" s="1"/>
  <c r="O215" i="4"/>
  <c r="U215" i="4"/>
  <c r="Y215" i="4" s="1"/>
  <c r="O216" i="4"/>
  <c r="U216" i="4"/>
  <c r="Y216" i="4" s="1"/>
  <c r="O217" i="4"/>
  <c r="U217" i="4"/>
  <c r="O218" i="4"/>
  <c r="U218" i="4"/>
  <c r="Y218" i="4" s="1"/>
  <c r="O219" i="4"/>
  <c r="U219" i="4"/>
  <c r="Y219" i="4" s="1"/>
  <c r="O220" i="4"/>
  <c r="U220" i="4"/>
  <c r="Y220" i="4" s="1"/>
  <c r="O221" i="4"/>
  <c r="U221" i="4"/>
  <c r="Y221" i="4" s="1"/>
  <c r="O222" i="4"/>
  <c r="U222" i="4"/>
  <c r="Y222" i="4" s="1"/>
  <c r="O223" i="4"/>
  <c r="U223" i="4"/>
  <c r="Y223" i="4" s="1"/>
  <c r="O224" i="4"/>
  <c r="U224" i="4"/>
  <c r="Y224" i="4" s="1"/>
  <c r="O225" i="4"/>
  <c r="U225" i="4"/>
  <c r="Y225" i="4" s="1"/>
  <c r="O226" i="4"/>
  <c r="U226" i="4"/>
  <c r="Y226" i="4" s="1"/>
  <c r="O227" i="4"/>
  <c r="U227" i="4"/>
  <c r="Y227" i="4" s="1"/>
  <c r="G228" i="4"/>
  <c r="H228" i="4"/>
  <c r="J228" i="4"/>
  <c r="K228" i="4"/>
  <c r="L228" i="4"/>
  <c r="M228" i="4"/>
  <c r="N228" i="4"/>
  <c r="P228" i="4"/>
  <c r="U228" i="4"/>
  <c r="Y228" i="4" s="1"/>
  <c r="O229" i="4"/>
  <c r="O230" i="4"/>
  <c r="U230" i="4"/>
  <c r="Y230" i="4" s="1"/>
  <c r="O231" i="4"/>
  <c r="U231" i="4"/>
  <c r="O232" i="4"/>
  <c r="U232" i="4"/>
  <c r="Y232" i="4" s="1"/>
  <c r="O233" i="4"/>
  <c r="U233" i="4"/>
  <c r="Y233" i="4" s="1"/>
  <c r="O234" i="4"/>
  <c r="U234" i="4"/>
  <c r="Y234" i="4" s="1"/>
  <c r="O235" i="4"/>
  <c r="R235" i="4"/>
  <c r="U235" i="4"/>
  <c r="Y235" i="4" s="1"/>
  <c r="O236" i="4"/>
  <c r="R236" i="4"/>
  <c r="U236" i="4"/>
  <c r="Y236" i="4" s="1"/>
  <c r="O237" i="4"/>
  <c r="R237" i="4"/>
  <c r="U237" i="4"/>
  <c r="Y237" i="4" s="1"/>
  <c r="O238" i="4"/>
  <c r="U238" i="4"/>
  <c r="Y238" i="4" s="1"/>
  <c r="O239" i="4"/>
  <c r="R239" i="4"/>
  <c r="U239" i="4"/>
  <c r="Y239" i="4" s="1"/>
  <c r="O240" i="4"/>
  <c r="U240" i="4"/>
  <c r="Y240" i="4" s="1"/>
  <c r="G241" i="4"/>
  <c r="H241" i="4"/>
  <c r="J241" i="4"/>
  <c r="K241" i="4"/>
  <c r="L241" i="4"/>
  <c r="M241" i="4"/>
  <c r="N241" i="4"/>
  <c r="P241" i="4"/>
  <c r="U241" i="4"/>
  <c r="Y241" i="4" s="1"/>
  <c r="O242" i="4"/>
  <c r="U242" i="4"/>
  <c r="O243" i="4"/>
  <c r="U243" i="4"/>
  <c r="Y243" i="4" s="1"/>
  <c r="O244" i="4"/>
  <c r="U244" i="4"/>
  <c r="Y244" i="4" s="1"/>
  <c r="O245" i="4"/>
  <c r="U245" i="4"/>
  <c r="Y245" i="4" s="1"/>
  <c r="O246" i="4"/>
  <c r="U246" i="4"/>
  <c r="Y246" i="4" s="1"/>
  <c r="O247" i="4"/>
  <c r="U247" i="4"/>
  <c r="Y247" i="4" s="1"/>
  <c r="O248" i="4"/>
  <c r="U248" i="4"/>
  <c r="Y248" i="4" s="1"/>
  <c r="O249" i="4"/>
  <c r="U249" i="4"/>
  <c r="Y249" i="4" s="1"/>
  <c r="O250" i="4"/>
  <c r="U250" i="4"/>
  <c r="O251" i="4"/>
  <c r="U251" i="4"/>
  <c r="Y251" i="4" s="1"/>
  <c r="O252" i="4"/>
  <c r="U252" i="4"/>
  <c r="O253" i="4"/>
  <c r="U253" i="4"/>
  <c r="Y253" i="4" s="1"/>
  <c r="O254" i="4"/>
  <c r="U254" i="4"/>
  <c r="O255" i="4"/>
  <c r="U255" i="4"/>
  <c r="Y255" i="4" s="1"/>
  <c r="O256" i="4"/>
  <c r="U256" i="4"/>
  <c r="O257" i="4"/>
  <c r="U257" i="4"/>
  <c r="Y257" i="4" s="1"/>
  <c r="O258" i="4"/>
  <c r="U258" i="4"/>
  <c r="Y258" i="4" s="1"/>
  <c r="O259" i="4"/>
  <c r="U259" i="4"/>
  <c r="Y259" i="4" s="1"/>
  <c r="O260" i="4"/>
  <c r="U260" i="4"/>
  <c r="Y260" i="4" s="1"/>
  <c r="O261" i="4"/>
  <c r="U261" i="4"/>
  <c r="Y261" i="4" s="1"/>
  <c r="O262" i="4"/>
  <c r="U262" i="4"/>
  <c r="O263" i="4"/>
  <c r="U263" i="4"/>
  <c r="Y263" i="4" s="1"/>
  <c r="O264" i="4"/>
  <c r="U264" i="4"/>
  <c r="Y264" i="4" s="1"/>
  <c r="O265" i="4"/>
  <c r="U265" i="4"/>
  <c r="O266" i="4"/>
  <c r="U266" i="4"/>
  <c r="O267" i="4"/>
  <c r="U267" i="4"/>
  <c r="Y267" i="4" s="1"/>
  <c r="O268" i="4"/>
  <c r="U268" i="4"/>
  <c r="Y268" i="4" s="1"/>
  <c r="O269" i="4"/>
  <c r="U269" i="4"/>
  <c r="O270" i="4"/>
  <c r="U270" i="4"/>
  <c r="Y270" i="4" s="1"/>
  <c r="O271" i="4"/>
  <c r="U271" i="4"/>
  <c r="Y271" i="4" s="1"/>
  <c r="O272" i="4"/>
  <c r="U272" i="4"/>
  <c r="Y272" i="4" s="1"/>
  <c r="O273" i="4"/>
  <c r="U273" i="4"/>
  <c r="Y273" i="4" s="1"/>
  <c r="O274" i="4"/>
  <c r="U274" i="4"/>
  <c r="O275" i="4"/>
  <c r="U275" i="4"/>
  <c r="O276" i="4"/>
  <c r="U276" i="4"/>
  <c r="Y276" i="4" s="1"/>
  <c r="O277" i="4"/>
  <c r="U277" i="4"/>
  <c r="Y277" i="4" s="1"/>
  <c r="O278" i="4"/>
  <c r="U278" i="4"/>
  <c r="Y278" i="4" s="1"/>
  <c r="O279" i="4"/>
  <c r="U279" i="4"/>
  <c r="Y279" i="4" s="1"/>
  <c r="O280" i="4"/>
  <c r="U280" i="4"/>
  <c r="Y280" i="4" s="1"/>
  <c r="O281" i="4"/>
  <c r="U281" i="4"/>
  <c r="Y281" i="4" s="1"/>
  <c r="O282" i="4"/>
  <c r="U282" i="4"/>
  <c r="O283" i="4"/>
  <c r="U283" i="4"/>
  <c r="Y283" i="4" s="1"/>
  <c r="O284" i="4"/>
  <c r="U284" i="4"/>
  <c r="Y284" i="4" s="1"/>
  <c r="O285" i="4"/>
  <c r="U285" i="4"/>
  <c r="Y285" i="4" s="1"/>
  <c r="O286" i="4"/>
  <c r="U286" i="4"/>
  <c r="Y286" i="4" s="1"/>
  <c r="O287" i="4"/>
  <c r="U287" i="4"/>
  <c r="Y287" i="4" s="1"/>
  <c r="O288" i="4"/>
  <c r="R288" i="4"/>
  <c r="U288" i="4"/>
  <c r="Y288" i="4" s="1"/>
  <c r="O289" i="4"/>
  <c r="U289" i="4"/>
  <c r="Y289" i="4" s="1"/>
  <c r="O290" i="4"/>
  <c r="U290" i="4"/>
  <c r="Y290" i="4" s="1"/>
  <c r="O291" i="4"/>
  <c r="U291" i="4"/>
  <c r="O292" i="4"/>
  <c r="U292" i="4"/>
  <c r="Y292" i="4" s="1"/>
  <c r="O293" i="4"/>
  <c r="U293" i="4"/>
  <c r="O294" i="4"/>
  <c r="U294" i="4"/>
  <c r="Y294" i="4" s="1"/>
  <c r="O295" i="4"/>
  <c r="U295" i="4"/>
  <c r="Y295" i="4" s="1"/>
  <c r="O296" i="4"/>
  <c r="U296" i="4"/>
  <c r="Y296" i="4" s="1"/>
  <c r="O297" i="4"/>
  <c r="U297" i="4"/>
  <c r="O298" i="4"/>
  <c r="U298" i="4"/>
  <c r="Y298" i="4" s="1"/>
  <c r="O299" i="4"/>
  <c r="R299" i="4"/>
  <c r="U299" i="4"/>
  <c r="Y299" i="4" s="1"/>
  <c r="O300" i="4"/>
  <c r="U300" i="4"/>
  <c r="Y300" i="4" s="1"/>
  <c r="O301" i="4"/>
  <c r="U301" i="4"/>
  <c r="Y301" i="4" s="1"/>
  <c r="O302" i="4"/>
  <c r="U302" i="4"/>
  <c r="Y302" i="4" s="1"/>
  <c r="O303" i="4"/>
  <c r="U303" i="4"/>
  <c r="Y303" i="4" s="1"/>
  <c r="O304" i="4"/>
  <c r="U304" i="4"/>
  <c r="O305" i="4"/>
  <c r="U305" i="4"/>
  <c r="Y305" i="4" s="1"/>
  <c r="O306" i="4"/>
  <c r="U306" i="4"/>
  <c r="O307" i="4"/>
  <c r="U307" i="4"/>
  <c r="O308" i="4"/>
  <c r="U308" i="4"/>
  <c r="Y308" i="4" s="1"/>
  <c r="O309" i="4"/>
  <c r="U309" i="4"/>
  <c r="Y309" i="4" s="1"/>
  <c r="O310" i="4"/>
  <c r="U310" i="4"/>
  <c r="Y310" i="4" s="1"/>
  <c r="O311" i="4"/>
  <c r="U311" i="4"/>
  <c r="Y311" i="4" s="1"/>
  <c r="O312" i="4"/>
  <c r="R312" i="4"/>
  <c r="U312" i="4"/>
  <c r="Y312" i="4" s="1"/>
  <c r="O313" i="4"/>
  <c r="U313" i="4"/>
  <c r="Y313" i="4" s="1"/>
  <c r="O314" i="4"/>
  <c r="U314" i="4"/>
  <c r="Y314" i="4" s="1"/>
  <c r="O315" i="4"/>
  <c r="R315" i="4"/>
  <c r="U315" i="4"/>
  <c r="Y315" i="4" s="1"/>
  <c r="O316" i="4"/>
  <c r="U316" i="4"/>
  <c r="Y316" i="4" s="1"/>
  <c r="O317" i="4"/>
  <c r="R317" i="4"/>
  <c r="U317" i="4"/>
  <c r="Y317" i="4" s="1"/>
  <c r="O318" i="4"/>
  <c r="U318" i="4"/>
  <c r="Y318" i="4" s="1"/>
  <c r="O319" i="4"/>
  <c r="U319" i="4"/>
  <c r="Y319" i="4" s="1"/>
  <c r="O320" i="4"/>
  <c r="R320" i="4"/>
  <c r="U320" i="4"/>
  <c r="Y320" i="4" s="1"/>
  <c r="G321" i="4"/>
  <c r="H321" i="4"/>
  <c r="J321" i="4"/>
  <c r="K321" i="4"/>
  <c r="L321" i="4"/>
  <c r="M321" i="4"/>
  <c r="N321" i="4"/>
  <c r="P321" i="4"/>
  <c r="U321" i="4"/>
  <c r="Y321" i="4" s="1"/>
  <c r="U322" i="4"/>
  <c r="O323" i="4"/>
  <c r="U323" i="4"/>
  <c r="Y323" i="4" s="1"/>
  <c r="O324" i="4"/>
  <c r="U324" i="4"/>
  <c r="Y324" i="4" s="1"/>
  <c r="O325" i="4"/>
  <c r="U325" i="4"/>
  <c r="Y325" i="4" s="1"/>
  <c r="O326" i="4"/>
  <c r="U326" i="4"/>
  <c r="Y326" i="4" s="1"/>
  <c r="O327" i="4"/>
  <c r="U327" i="4"/>
  <c r="Y327" i="4" s="1"/>
  <c r="O328" i="4"/>
  <c r="U328" i="4"/>
  <c r="Y328" i="4" s="1"/>
  <c r="O329" i="4"/>
  <c r="U329" i="4"/>
  <c r="Y329" i="4" s="1"/>
  <c r="O330" i="4"/>
  <c r="U330" i="4"/>
  <c r="Y330" i="4" s="1"/>
  <c r="O331" i="4"/>
  <c r="U331" i="4"/>
  <c r="Y331" i="4" s="1"/>
  <c r="O332" i="4"/>
  <c r="U332" i="4"/>
  <c r="Y332" i="4" s="1"/>
  <c r="O333" i="4"/>
  <c r="R333" i="4"/>
  <c r="U333" i="4"/>
  <c r="Y333" i="4" s="1"/>
  <c r="O334" i="4"/>
  <c r="U334" i="4"/>
  <c r="O335" i="4"/>
  <c r="U335" i="4"/>
  <c r="Y335" i="4" s="1"/>
  <c r="O336" i="4"/>
  <c r="U336" i="4"/>
  <c r="Y336" i="4" s="1"/>
  <c r="O337" i="4"/>
  <c r="U337" i="4"/>
  <c r="Y337" i="4" s="1"/>
  <c r="O338" i="4"/>
  <c r="U338" i="4"/>
  <c r="Y338" i="4" s="1"/>
  <c r="O339" i="4"/>
  <c r="U339" i="4"/>
  <c r="Y339" i="4" s="1"/>
  <c r="O340" i="4"/>
  <c r="U340" i="4"/>
  <c r="Y340" i="4" s="1"/>
  <c r="O341" i="4"/>
  <c r="U341" i="4"/>
  <c r="Y341" i="4" s="1"/>
  <c r="O342" i="4"/>
  <c r="U342" i="4"/>
  <c r="Y342" i="4" s="1"/>
  <c r="O343" i="4"/>
  <c r="U343" i="4"/>
  <c r="Y343" i="4" s="1"/>
  <c r="O344" i="4"/>
  <c r="U344" i="4"/>
  <c r="Y344" i="4" s="1"/>
  <c r="O345" i="4"/>
  <c r="U345" i="4"/>
  <c r="Y345" i="4" s="1"/>
  <c r="O346" i="4"/>
  <c r="U346" i="4"/>
  <c r="Y346" i="4" s="1"/>
  <c r="O347" i="4"/>
  <c r="U347" i="4"/>
  <c r="Y347" i="4" s="1"/>
  <c r="O348" i="4"/>
  <c r="U348" i="4"/>
  <c r="Y348" i="4" s="1"/>
  <c r="O349" i="4"/>
  <c r="U349" i="4"/>
  <c r="O350" i="4"/>
  <c r="U350" i="4"/>
  <c r="Y350" i="4" s="1"/>
  <c r="O351" i="4"/>
  <c r="U351" i="4"/>
  <c r="O352" i="4"/>
  <c r="U352" i="4"/>
  <c r="O353" i="4"/>
  <c r="U353" i="4"/>
  <c r="Y353" i="4" s="1"/>
  <c r="O354" i="4"/>
  <c r="U354" i="4"/>
  <c r="O355" i="4"/>
  <c r="U355" i="4"/>
  <c r="Y355" i="4" s="1"/>
  <c r="O356" i="4"/>
  <c r="R356" i="4"/>
  <c r="U356" i="4"/>
  <c r="O357" i="4"/>
  <c r="U357" i="4"/>
  <c r="O358" i="4"/>
  <c r="U358" i="4"/>
  <c r="Y358" i="4" s="1"/>
  <c r="O359" i="4"/>
  <c r="U359" i="4"/>
  <c r="Y359" i="4" s="1"/>
  <c r="O360" i="4"/>
  <c r="U360" i="4"/>
  <c r="Y360" i="4" s="1"/>
  <c r="O361" i="4"/>
  <c r="U361" i="4"/>
  <c r="Y361" i="4" s="1"/>
  <c r="O362" i="4"/>
  <c r="U362" i="4"/>
  <c r="Y362" i="4" s="1"/>
  <c r="O363" i="4"/>
  <c r="U363" i="4"/>
  <c r="Y363" i="4" s="1"/>
  <c r="O364" i="4"/>
  <c r="U364" i="4"/>
  <c r="Y364" i="4" s="1"/>
  <c r="O365" i="4"/>
  <c r="R365" i="4"/>
  <c r="U365" i="4"/>
  <c r="O366" i="4"/>
  <c r="U366" i="4"/>
  <c r="Y366" i="4" s="1"/>
  <c r="O367" i="4"/>
  <c r="U367" i="4"/>
  <c r="Y367" i="4" s="1"/>
  <c r="O368" i="4"/>
  <c r="R368" i="4"/>
  <c r="U368" i="4"/>
  <c r="G369" i="4"/>
  <c r="H369" i="4"/>
  <c r="J369" i="4"/>
  <c r="K369" i="4"/>
  <c r="L369" i="4"/>
  <c r="M369" i="4"/>
  <c r="N369" i="4"/>
  <c r="P369" i="4"/>
  <c r="U369" i="4"/>
  <c r="Y369" i="4" s="1"/>
  <c r="O370" i="4"/>
  <c r="U370" i="4"/>
  <c r="Y370" i="4" s="1"/>
  <c r="O372" i="4"/>
  <c r="U372" i="4"/>
  <c r="O373" i="4"/>
  <c r="U373" i="4"/>
  <c r="Y373" i="4" s="1"/>
  <c r="O374" i="4"/>
  <c r="U374" i="4"/>
  <c r="Y374" i="4" s="1"/>
  <c r="G375" i="4"/>
  <c r="H375" i="4"/>
  <c r="J375" i="4"/>
  <c r="K375" i="4"/>
  <c r="L375" i="4"/>
  <c r="M375" i="4"/>
  <c r="N375" i="4"/>
  <c r="P375" i="4"/>
  <c r="R375" i="4"/>
  <c r="U375" i="4"/>
  <c r="Y375" i="4" s="1"/>
  <c r="O376" i="4"/>
  <c r="O377" i="4"/>
  <c r="R377" i="4"/>
  <c r="R380" i="4" s="1"/>
  <c r="O378" i="4"/>
  <c r="O379" i="4"/>
  <c r="G380" i="4"/>
  <c r="H380" i="4"/>
  <c r="J380" i="4"/>
  <c r="K380" i="4"/>
  <c r="L380" i="4"/>
  <c r="M380" i="4"/>
  <c r="N380" i="4"/>
  <c r="P380" i="4"/>
  <c r="O381" i="4"/>
  <c r="U381" i="4"/>
  <c r="O382" i="4"/>
  <c r="R382" i="4"/>
  <c r="U382" i="4"/>
  <c r="Y382" i="4" s="1"/>
  <c r="O383" i="4"/>
  <c r="U383" i="4"/>
  <c r="Y383" i="4" s="1"/>
  <c r="O384" i="4"/>
  <c r="P384" i="4"/>
  <c r="P385" i="4" s="1"/>
  <c r="R384" i="4"/>
  <c r="U384" i="4"/>
  <c r="Y384" i="4" s="1"/>
  <c r="G385" i="4"/>
  <c r="H385" i="4"/>
  <c r="J385" i="4"/>
  <c r="K385" i="4"/>
  <c r="L385" i="4"/>
  <c r="M385" i="4"/>
  <c r="N385" i="4"/>
  <c r="U385" i="4"/>
  <c r="Y385" i="4" s="1"/>
  <c r="U387" i="4"/>
  <c r="Y387" i="4" s="1"/>
  <c r="O391" i="4"/>
  <c r="P391" i="4"/>
  <c r="U391" i="4"/>
  <c r="Y391" i="4" s="1"/>
  <c r="O392" i="4"/>
  <c r="P392" i="4"/>
  <c r="R392" i="4"/>
  <c r="R396" i="4" s="1"/>
  <c r="U392" i="4"/>
  <c r="Y392" i="4" s="1"/>
  <c r="O393" i="4"/>
  <c r="U393" i="4"/>
  <c r="Y393" i="4" s="1"/>
  <c r="O394" i="4"/>
  <c r="U394" i="4"/>
  <c r="Y394" i="4" s="1"/>
  <c r="O395" i="4"/>
  <c r="U395" i="4"/>
  <c r="Y395" i="4" s="1"/>
  <c r="G396" i="4"/>
  <c r="H396" i="4"/>
  <c r="J396" i="4"/>
  <c r="K396" i="4"/>
  <c r="L396" i="4"/>
  <c r="M396" i="4"/>
  <c r="N396" i="4"/>
  <c r="U396" i="4"/>
  <c r="Y396" i="4" s="1"/>
  <c r="O397" i="4"/>
  <c r="O398" i="4"/>
  <c r="U398" i="4"/>
  <c r="Y398" i="4" s="1"/>
  <c r="O399" i="4"/>
  <c r="U399" i="4"/>
  <c r="Y399" i="4" s="1"/>
  <c r="G400" i="4"/>
  <c r="H400" i="4"/>
  <c r="J400" i="4"/>
  <c r="K400" i="4"/>
  <c r="L400" i="4"/>
  <c r="M400" i="4"/>
  <c r="N400" i="4"/>
  <c r="P400" i="4"/>
  <c r="R400" i="4"/>
  <c r="U400" i="4"/>
  <c r="Y400" i="4" s="1"/>
  <c r="O401" i="4"/>
  <c r="U401" i="4"/>
  <c r="Y401" i="4" s="1"/>
  <c r="O403" i="4"/>
  <c r="U403" i="4"/>
  <c r="O404" i="4"/>
  <c r="U404" i="4"/>
  <c r="Y404" i="4" s="1"/>
  <c r="O405" i="4"/>
  <c r="U405" i="4"/>
  <c r="Y405" i="4" s="1"/>
  <c r="G406" i="4"/>
  <c r="H406" i="4"/>
  <c r="J406" i="4"/>
  <c r="K406" i="4"/>
  <c r="L406" i="4"/>
  <c r="M406" i="4"/>
  <c r="N406" i="4"/>
  <c r="P406" i="4"/>
  <c r="R406" i="4"/>
  <c r="U406" i="4"/>
  <c r="Y406" i="4" s="1"/>
  <c r="U407" i="4"/>
  <c r="O408" i="4"/>
  <c r="U408" i="4"/>
  <c r="Y408" i="4" s="1"/>
  <c r="O409" i="4"/>
  <c r="P409" i="4"/>
  <c r="P412" i="4" s="1"/>
  <c r="U409" i="4"/>
  <c r="Y409" i="4" s="1"/>
  <c r="O410" i="4"/>
  <c r="R410" i="4"/>
  <c r="R412" i="4" s="1"/>
  <c r="U410" i="4"/>
  <c r="Y410" i="4" s="1"/>
  <c r="O411" i="4"/>
  <c r="U411" i="4"/>
  <c r="Y411" i="4" s="1"/>
  <c r="G412" i="4"/>
  <c r="H412" i="4"/>
  <c r="J412" i="4"/>
  <c r="L412" i="4"/>
  <c r="M412" i="4"/>
  <c r="N412" i="4"/>
  <c r="U412" i="4"/>
  <c r="Y412" i="4" s="1"/>
  <c r="U413" i="4"/>
  <c r="O414" i="4"/>
  <c r="R414" i="4"/>
  <c r="U414" i="4"/>
  <c r="Y414" i="4" s="1"/>
  <c r="O415" i="4"/>
  <c r="P415" i="4"/>
  <c r="U415" i="4"/>
  <c r="Y415" i="4" s="1"/>
  <c r="U416" i="4"/>
  <c r="U417" i="4"/>
  <c r="Y417" i="4" s="1"/>
  <c r="U418" i="4"/>
  <c r="U419" i="4"/>
  <c r="O420" i="4"/>
  <c r="U420" i="4"/>
  <c r="Y420" i="4" s="1"/>
  <c r="O421" i="4"/>
  <c r="U421" i="4"/>
  <c r="Y421" i="4" s="1"/>
  <c r="O422" i="4"/>
  <c r="U422" i="4"/>
  <c r="O423" i="4"/>
  <c r="U423" i="4"/>
  <c r="Y423" i="4" s="1"/>
  <c r="G424" i="4"/>
  <c r="H424" i="4"/>
  <c r="J424" i="4"/>
  <c r="L424" i="4"/>
  <c r="M424" i="4"/>
  <c r="N424" i="4"/>
  <c r="P424" i="4"/>
  <c r="R424" i="4"/>
  <c r="U424" i="4"/>
  <c r="Y424" i="4" s="1"/>
  <c r="U425" i="4"/>
  <c r="U426" i="4"/>
  <c r="Y426" i="4" s="1"/>
  <c r="U427" i="4"/>
  <c r="J428" i="4"/>
  <c r="O428" i="4" s="1"/>
  <c r="U428" i="4"/>
  <c r="Y428" i="4" s="1"/>
  <c r="U429" i="4"/>
  <c r="P430" i="4"/>
  <c r="U430" i="4"/>
  <c r="Y430" i="4" s="1"/>
  <c r="AC434" i="4"/>
  <c r="P436" i="4"/>
  <c r="R436" i="4"/>
  <c r="P47" i="4" l="1"/>
  <c r="P49" i="4" s="1"/>
  <c r="P51" i="4" s="1"/>
  <c r="N387" i="4"/>
  <c r="N117" i="4"/>
  <c r="R72" i="4"/>
  <c r="O412" i="4"/>
  <c r="R385" i="4"/>
  <c r="K387" i="4"/>
  <c r="K117" i="4"/>
  <c r="O424" i="4"/>
  <c r="P396" i="4"/>
  <c r="P417" i="4" s="1"/>
  <c r="G387" i="4"/>
  <c r="M117" i="4"/>
  <c r="R241" i="4"/>
  <c r="O406" i="4"/>
  <c r="J387" i="4"/>
  <c r="H117" i="4"/>
  <c r="K417" i="4"/>
  <c r="R369" i="4"/>
  <c r="L387" i="4"/>
  <c r="P116" i="4"/>
  <c r="P117" i="4" s="1"/>
  <c r="P387" i="4"/>
  <c r="N417" i="4"/>
  <c r="O400" i="4"/>
  <c r="O241" i="4"/>
  <c r="M387" i="4"/>
  <c r="O369" i="4"/>
  <c r="M417" i="4"/>
  <c r="H417" i="4"/>
  <c r="O396" i="4"/>
  <c r="O380" i="4"/>
  <c r="O375" i="4"/>
  <c r="G117" i="4"/>
  <c r="J417" i="4"/>
  <c r="H387" i="4"/>
  <c r="V387" i="4" s="1"/>
  <c r="R417" i="4"/>
  <c r="L417" i="4"/>
  <c r="G417" i="4"/>
  <c r="O385" i="4"/>
  <c r="O87" i="4"/>
  <c r="L117" i="4"/>
  <c r="V25" i="4"/>
  <c r="X25" i="4" s="1"/>
  <c r="O183" i="4"/>
  <c r="R321" i="4"/>
  <c r="O116" i="4"/>
  <c r="O228" i="4"/>
  <c r="R116" i="4"/>
  <c r="O321" i="4"/>
  <c r="O61" i="4"/>
  <c r="O72" i="4" s="1"/>
  <c r="J72" i="4"/>
  <c r="J117" i="4" s="1"/>
  <c r="L426" i="4" l="1"/>
  <c r="N426" i="4"/>
  <c r="N46" i="4" s="1"/>
  <c r="N47" i="4" s="1"/>
  <c r="N49" i="4" s="1"/>
  <c r="N51" i="4" s="1"/>
  <c r="H426" i="4"/>
  <c r="P432" i="4"/>
  <c r="P438" i="4" s="1"/>
  <c r="R387" i="4"/>
  <c r="K426" i="4"/>
  <c r="O417" i="4"/>
  <c r="M426" i="4"/>
  <c r="G426" i="4"/>
  <c r="G430" i="4" s="1"/>
  <c r="J426" i="4"/>
  <c r="J46" i="4" s="1"/>
  <c r="J47" i="4" s="1"/>
  <c r="J49" i="4" s="1"/>
  <c r="O117" i="4"/>
  <c r="L46" i="4"/>
  <c r="L47" i="4" s="1"/>
  <c r="L49" i="4" s="1"/>
  <c r="L51" i="4" s="1"/>
  <c r="L430" i="4"/>
  <c r="R117" i="4"/>
  <c r="R432" i="4"/>
  <c r="R438" i="4" s="1"/>
  <c r="O387" i="4"/>
  <c r="N430" i="4" l="1"/>
  <c r="R426" i="4"/>
  <c r="R46" i="4" s="1"/>
  <c r="R47" i="4" s="1"/>
  <c r="R49" i="4" s="1"/>
  <c r="R51" i="4" s="1"/>
  <c r="J430" i="4"/>
  <c r="J433" i="4" s="1"/>
  <c r="M46" i="4"/>
  <c r="M47" i="4" s="1"/>
  <c r="M49" i="4" s="1"/>
  <c r="M51" i="4" s="1"/>
  <c r="M430" i="4"/>
  <c r="O426" i="4"/>
  <c r="O46" i="4" s="1"/>
  <c r="O47" i="4" s="1"/>
  <c r="O49" i="4" s="1"/>
  <c r="J51" i="4"/>
  <c r="J52" i="4" s="1"/>
  <c r="J434" i="4"/>
  <c r="J435" i="4" s="1"/>
  <c r="R430" i="4" l="1"/>
  <c r="O430" i="4"/>
  <c r="O51" i="4"/>
  <c r="O52" i="4" s="1"/>
  <c r="O432" i="4"/>
  <c r="O433" i="4" s="1"/>
</calcChain>
</file>

<file path=xl/sharedStrings.xml><?xml version="1.0" encoding="utf-8"?>
<sst xmlns="http://schemas.openxmlformats.org/spreadsheetml/2006/main" count="660" uniqueCount="548">
  <si>
    <t>W</t>
  </si>
  <si>
    <t>X</t>
  </si>
  <si>
    <t>E,Q,O</t>
  </si>
  <si>
    <t>B,O</t>
  </si>
  <si>
    <t>T,O</t>
  </si>
  <si>
    <t>accounts 2363 to 2368 were grouped differently in 2007.  Total for 2008 of $ 215.9 varies fro 2007 of 196.3 because _________________</t>
  </si>
  <si>
    <t>2008 total of 13.9m is 6%less than 2007 total</t>
  </si>
  <si>
    <t>Sept 2007 37% of well program patients transferred to new ALE program</t>
  </si>
  <si>
    <t>dc</t>
  </si>
  <si>
    <t>represents payment from county to Pharmacy Director for relocation expense</t>
  </si>
  <si>
    <t>2008 amount is $ 72,217281 budgeted subsidy plus $59,221 operating deficit at 6/30/08</t>
  </si>
  <si>
    <t>underaccrual of $ 350,000 in 2007 &amp; no 2007 amounts collected as of 6/30/08</t>
  </si>
  <si>
    <t>jogi</t>
  </si>
  <si>
    <t xml:space="preserve">same source last of bud proceeds from county general fund  </t>
  </si>
  <si>
    <t>joji</t>
  </si>
  <si>
    <t>2008 combined with acct rec - inpatient</t>
  </si>
  <si>
    <t>mike</t>
  </si>
  <si>
    <t>reclassed from longterm</t>
  </si>
  <si>
    <t>kirk</t>
  </si>
  <si>
    <t>reclassed from long term to current</t>
  </si>
  <si>
    <t>accounts 2351-2354 were all recorded in 2354 in 2007.  Total for 2008 of 325.0is &lt;5%different from prior year</t>
  </si>
  <si>
    <t>2008 total of 2.3 m is &lt;7%different from 2007</t>
  </si>
  <si>
    <t>la</t>
  </si>
  <si>
    <t>UNRECORDED OPEB EXPENSE</t>
  </si>
  <si>
    <t>increase was due to the new charity care Ace Program and all of the claims have not gone to Healthcare of San Mateo to be adjusted</t>
  </si>
  <si>
    <t>O</t>
  </si>
  <si>
    <t>TOTAL AJE'S</t>
  </si>
  <si>
    <t>ACE PROGRAM</t>
  </si>
  <si>
    <t>0850</t>
  </si>
  <si>
    <t>*</t>
  </si>
  <si>
    <t>1871*</t>
  </si>
  <si>
    <t xml:space="preserve">CONTRIBUTIONS OF SB1732 FUNDS </t>
  </si>
  <si>
    <t>6/30/09</t>
  </si>
  <si>
    <t>MILITARY PAID LEAVE</t>
  </si>
  <si>
    <t>MGMT HEALTH REIMB</t>
  </si>
  <si>
    <t>R-AETNA HEALTH PLAN</t>
  </si>
  <si>
    <t>R-KAISER HEALTH PLAN</t>
  </si>
  <si>
    <t>R-BLUE SHIELD HEALTH PLAN</t>
  </si>
  <si>
    <t>R-MEDICARE HEALTH INSURANCE</t>
  </si>
  <si>
    <t>R-BLUE SHIELD DENTAL PLAN</t>
  </si>
  <si>
    <t>R-VISION INSURANCE PLAN</t>
  </si>
  <si>
    <t>JL SALARY MEMO</t>
  </si>
  <si>
    <t>JL COMBINED BENEFITS MEMO</t>
  </si>
  <si>
    <t>CLEANING EXPENSE</t>
  </si>
  <si>
    <t>STATE REIMBURSED TRAINING</t>
  </si>
  <si>
    <t>TIRES, TUBES &amp; RECAPPING</t>
  </si>
  <si>
    <t>ALARN/SURVELLIANCE EQUIP MAINT</t>
  </si>
  <si>
    <t>GENERAL ELECTRICAL EXPENSE</t>
  </si>
  <si>
    <t>COMPUTER EQUIPMENT RENTAL</t>
  </si>
  <si>
    <t>OTHER SPECIAL RENTAL EXPENSE</t>
  </si>
  <si>
    <t>OTHER UTILITY EXPENSE</t>
  </si>
  <si>
    <t>CONTRACT CONSTRUCTION</t>
  </si>
  <si>
    <t>PROPERTY MANAGEMENT SERVICE</t>
  </si>
  <si>
    <t>PSP-ALCOHOL/DRUG TREATMENT</t>
  </si>
  <si>
    <t>SPECIAL RISK MANAGEMENT EXPENSE</t>
  </si>
  <si>
    <t>LOANS TO OTHER FUNDS/AGENCIES</t>
  </si>
  <si>
    <t>ALL OTHER INSURANCE</t>
  </si>
  <si>
    <t>C</t>
  </si>
  <si>
    <t>D</t>
  </si>
  <si>
    <t>G</t>
  </si>
  <si>
    <t>P</t>
  </si>
  <si>
    <t>0923</t>
  </si>
  <si>
    <t>I</t>
  </si>
  <si>
    <t>L</t>
  </si>
  <si>
    <t>DC</t>
  </si>
  <si>
    <t>MIKE</t>
  </si>
  <si>
    <t>JOJI</t>
  </si>
  <si>
    <t>N</t>
  </si>
  <si>
    <t>TOTAL FROM AJE  TAB</t>
  </si>
  <si>
    <t>T</t>
  </si>
  <si>
    <t>F,</t>
  </si>
  <si>
    <t>K</t>
  </si>
  <si>
    <t>H,</t>
  </si>
  <si>
    <t>U</t>
  </si>
  <si>
    <t>L,U</t>
  </si>
  <si>
    <t>V</t>
  </si>
  <si>
    <t>M</t>
  </si>
  <si>
    <t>L,M</t>
  </si>
  <si>
    <t>B,S,G</t>
  </si>
  <si>
    <t>D, U, L</t>
  </si>
  <si>
    <t>JE</t>
  </si>
  <si>
    <t>0813</t>
  </si>
  <si>
    <t>0926</t>
  </si>
  <si>
    <t>0916</t>
  </si>
  <si>
    <t>AUDITED</t>
  </si>
  <si>
    <t>PER BOOKS</t>
  </si>
  <si>
    <t>ACCT</t>
  </si>
  <si>
    <t>COMBINED</t>
  </si>
  <si>
    <t>SB855TF</t>
  </si>
  <si>
    <t>CAPITAL</t>
  </si>
  <si>
    <t>LTC SETTLE.</t>
  </si>
  <si>
    <t>NO.</t>
  </si>
  <si>
    <t>CREDIT</t>
  </si>
  <si>
    <t xml:space="preserve"> </t>
  </si>
  <si>
    <t>A</t>
  </si>
  <si>
    <t>LIABILITIES</t>
  </si>
  <si>
    <t>CAPITAL LEASE OBLIGATIONS</t>
  </si>
  <si>
    <t xml:space="preserve"> NET PATIENT SERVICE REVENUE</t>
  </si>
  <si>
    <t xml:space="preserve"> OTHER PROGRAM REVENUES:</t>
  </si>
  <si>
    <t xml:space="preserve"> OTHER OPERATING REVENUES:</t>
  </si>
  <si>
    <t>SALARIES AND BENEFITS</t>
  </si>
  <si>
    <t>DRUGS</t>
  </si>
  <si>
    <t>SUPPLIES</t>
  </si>
  <si>
    <t>CONTRACT PROVIDER SERVICES</t>
  </si>
  <si>
    <t>OTHER FEES &amp; PURCHASED SERVICES</t>
  </si>
  <si>
    <t>OTHER GENERAL EXPENSES</t>
  </si>
  <si>
    <t>RENTAL EXPENSE-CO. LEASED</t>
  </si>
  <si>
    <t>LEASE EXPENSE</t>
  </si>
  <si>
    <t>FIXED ASSETS</t>
  </si>
  <si>
    <t>DEPRECIATION</t>
  </si>
  <si>
    <t>NONOPERATING REVENUES(EXPENSES)</t>
  </si>
  <si>
    <t>CAPITAL CONTRIBUTIONS</t>
  </si>
  <si>
    <t>CHANGE IN NET ASSETS</t>
  </si>
  <si>
    <t>NET ASSETS(DEFICIT), BEGINNING</t>
  </si>
  <si>
    <t>NET ASSETS(DEFICIT), END OF YEAR</t>
  </si>
  <si>
    <t xml:space="preserve">  CONTRACTUAL ALLOWANCES</t>
  </si>
  <si>
    <t xml:space="preserve">  OTHER ALLOW.-CHARITY/MH MOU</t>
  </si>
  <si>
    <t xml:space="preserve">  ANCILLARY PATIENT CARE FEES</t>
  </si>
  <si>
    <t xml:space="preserve">  PROVISION FOR DOUBTFUL ACCOUNTS</t>
  </si>
  <si>
    <t>SUBSIDY FROM COUNTY GENERAL FUND</t>
  </si>
  <si>
    <t>UNAPPLIED PAYMENTS</t>
  </si>
  <si>
    <t>INTEREST RECEIVABLE</t>
  </si>
  <si>
    <t>OTHER CURRENT LIABILITIES</t>
  </si>
  <si>
    <t>DUE TO OTHER FUNDS</t>
  </si>
  <si>
    <t>0811</t>
  </si>
  <si>
    <t>CONTRIBUTED CAPITAL</t>
  </si>
  <si>
    <t>0812</t>
  </si>
  <si>
    <t>RETAINED EARNINGS</t>
  </si>
  <si>
    <t>FUND BALANCE AVAILABLE</t>
  </si>
  <si>
    <t>TOTAL UNRESTRICTED</t>
  </si>
  <si>
    <t>SALES AND USE TAXES</t>
  </si>
  <si>
    <t>HEALTH FEES</t>
  </si>
  <si>
    <t>DRUGS &amp; SUPPLIES SALES</t>
  </si>
  <si>
    <t>WELL PREMIUM AND CO-PAYS(66751)</t>
  </si>
  <si>
    <t>2642</t>
  </si>
  <si>
    <t>STALE-DTD WRT. CANCELLED</t>
  </si>
  <si>
    <t>GIFTS &amp; DONATIONS</t>
  </si>
  <si>
    <t>2647</t>
  </si>
  <si>
    <t>MISCELLANEOUS REIMBURSEMENTS</t>
  </si>
  <si>
    <t>FOUNDATION GRANTS</t>
  </si>
  <si>
    <t>2658</t>
  </si>
  <si>
    <t>ALL OTHER REVENUE</t>
  </si>
  <si>
    <t>REBATES AND REFUNDS</t>
  </si>
  <si>
    <t>INTEREST EARNED</t>
  </si>
  <si>
    <t>1558</t>
  </si>
  <si>
    <t>RENTS &amp; CONCESSIONS</t>
  </si>
  <si>
    <t>2644</t>
  </si>
  <si>
    <t>WORK COMP INS REFUND</t>
  </si>
  <si>
    <t>2645</t>
  </si>
  <si>
    <t>SDI PAYMENTS</t>
  </si>
  <si>
    <t>HOSPITAL FOUNDATION CONTRIBUTION</t>
  </si>
  <si>
    <t>INVENTORY</t>
  </si>
  <si>
    <t>LAND</t>
  </si>
  <si>
    <t>EQUIPMENT</t>
  </si>
  <si>
    <t>T O T A L  L I A B I L I T I E S  A N D  N E T  A S S E T S</t>
  </si>
  <si>
    <t>T O T A L  N E T  A S S E T S</t>
  </si>
  <si>
    <t>CHANGE IN NET ASSETS (FROM BELOW)</t>
  </si>
  <si>
    <t>OPERATING REVENUES</t>
  </si>
  <si>
    <t>TOTAL NET PATIENT SERVICE REVENUE</t>
  </si>
  <si>
    <t>GROSS PROFESSIONAL I/P</t>
  </si>
  <si>
    <t>GROSS FACILITY I/P</t>
  </si>
  <si>
    <t>GROSS PROFESSIONAL O/P</t>
  </si>
  <si>
    <t>GROSS FACILITY O/P</t>
  </si>
  <si>
    <t>BAD DEBT - INPATIENT</t>
  </si>
  <si>
    <t>BAD DEBT - OUTPATIENT</t>
  </si>
  <si>
    <t xml:space="preserve">  CHARITY CARE WRITE-OFF</t>
  </si>
  <si>
    <t xml:space="preserve">  ADMINISTRATIVE WRITE-OFF I/P</t>
  </si>
  <si>
    <t xml:space="preserve">  </t>
  </si>
  <si>
    <t xml:space="preserve">  ADMINISTRATIVE WRITE-OFF O/P</t>
  </si>
  <si>
    <t>INPATIENT</t>
  </si>
  <si>
    <t>OUTPATIENT</t>
  </si>
  <si>
    <t>STATE SUPPLEMENTAL PROGRAMS - MEDI-CAL WAIVER</t>
  </si>
  <si>
    <t>STATE SUPPLEMENTAL PROGRAMS - LTC SUPPLEMENTAL</t>
  </si>
  <si>
    <t>TOBACCO TAX (PROPOSITION 99)</t>
  </si>
  <si>
    <t>SALES TAX</t>
  </si>
  <si>
    <t>TOBACCO SETTLEMENT</t>
  </si>
  <si>
    <t>REVENUE FROM OTHER COUNTY AGENCIES</t>
  </si>
  <si>
    <t>SALE OF DRUGS &amp; MEDICAL SUPPLY FEES</t>
  </si>
  <si>
    <t>T O T A L  O P E R A T I N G  R E V E N U E S</t>
  </si>
  <si>
    <t>IFR - GENERAL FUND</t>
  </si>
  <si>
    <t>IFR - EMS FUND</t>
  </si>
  <si>
    <t>OTHER INTERFUND REVENUE</t>
  </si>
  <si>
    <t>2363</t>
  </si>
  <si>
    <t>2364</t>
  </si>
  <si>
    <t>2351</t>
  </si>
  <si>
    <t>2352</t>
  </si>
  <si>
    <t>2353</t>
  </si>
  <si>
    <t>2354</t>
  </si>
  <si>
    <t>2361</t>
  </si>
  <si>
    <t>2362</t>
  </si>
  <si>
    <t>MEDICAL REPORT FEES</t>
  </si>
  <si>
    <t>VACCINATION FEES</t>
  </si>
  <si>
    <t>PH CLINICAL FEE</t>
  </si>
  <si>
    <t>OTHER HEALTH FEES</t>
  </si>
  <si>
    <t>LABORATORY SERVICE</t>
  </si>
  <si>
    <t>FOOD SALES - CAFETERIA</t>
  </si>
  <si>
    <t>FOOD SALES - OTHER</t>
  </si>
  <si>
    <t>TOTAL REVENUE FROM OTHER COUNTY AGENCIES</t>
  </si>
  <si>
    <t>TOTAL SALE OF DRUG &amp; MEDICAL SUPPLY FEES</t>
  </si>
  <si>
    <t>WITNESS/JURY FEES - MITIGATION</t>
  </si>
  <si>
    <t>SB855 DISP. SHARE MCAL</t>
  </si>
  <si>
    <t>OPERATING EXPENSES</t>
  </si>
  <si>
    <t>REGULAR HOUR - PERM POSITION</t>
  </si>
  <si>
    <t>REGULAR HOURS - NIGHT SHIFT</t>
  </si>
  <si>
    <t>SPECIAL DUTY - PERM POSITION</t>
  </si>
  <si>
    <t>SPLIT SHIFT PAY - PERM POSITION</t>
  </si>
  <si>
    <t>CALL BACK - PERM POSITIONS</t>
  </si>
  <si>
    <t>ON CALL - PERM POSITIONS</t>
  </si>
  <si>
    <t>BILINGUAL PAY</t>
  </si>
  <si>
    <t>LTC WAGE PASS</t>
  </si>
  <si>
    <t>EMPLOYEE SICK LEAVE</t>
  </si>
  <si>
    <t>VACATION PAY</t>
  </si>
  <si>
    <t>HOLIDAY PAY</t>
  </si>
  <si>
    <t>COMPENSATORY TIME USED</t>
  </si>
  <si>
    <t>JURY DUTY PAID LEAVE</t>
  </si>
  <si>
    <t>OTHER PAID LEAVE</t>
  </si>
  <si>
    <t>WORK GROUP 4 TIME - HISTORY</t>
  </si>
  <si>
    <t>WORK GROUP 4 - COMP CASH OUT</t>
  </si>
  <si>
    <t>TERMINAL VACATION PAY</t>
  </si>
  <si>
    <t>EXTRA HELP HOURS - REG PAY</t>
  </si>
  <si>
    <t>EXTRA HELP HOURS - NIGHT SHIFT</t>
  </si>
  <si>
    <t>EXTRA HELP  - SPECIAL DUTY PAY</t>
  </si>
  <si>
    <t>EXTRA HELP - ON CALL PAY</t>
  </si>
  <si>
    <t>EXTRA HELP - OTHER SPECIAL PAY</t>
  </si>
  <si>
    <t>OVERTIME - STRAIGHT PAY</t>
  </si>
  <si>
    <t>OVERTIME - 1 1/2 TIME PAY</t>
  </si>
  <si>
    <t>OVERTIME - 1 1/2 NIGHT SHIFT</t>
  </si>
  <si>
    <t>OVERTIME - SPECIAL DUTY PAY</t>
  </si>
  <si>
    <t>WORK GROUP 4 PAY - HISTORY ON</t>
  </si>
  <si>
    <t>FICA</t>
  </si>
  <si>
    <t>MEDICARE CONTRIBUTION</t>
  </si>
  <si>
    <t>COUNTY RETIREMENT CONRIBUTION</t>
  </si>
  <si>
    <t>COUNTY ANNUITY CONTRIBUTION</t>
  </si>
  <si>
    <t>PLAN 3 SURVIVOR BENEFITS</t>
  </si>
  <si>
    <t>MONEY PURCHASE RETIREMENT PLAN B</t>
  </si>
  <si>
    <t>AETNA HEALTH PLAN</t>
  </si>
  <si>
    <t xml:space="preserve">KAISER HEALTH PLAN </t>
  </si>
  <si>
    <t>COUNTY HEALTH PLAN</t>
  </si>
  <si>
    <t>MEDICARE HEALTH INSURANCE</t>
  </si>
  <si>
    <t>SECURE HORIZONS</t>
  </si>
  <si>
    <t>OUT OF AREA RETIRESS HLTH BN</t>
  </si>
  <si>
    <t>EXTRA HELP HEALTH WORX</t>
  </si>
  <si>
    <t>COUNTY DENTAL PLAN</t>
  </si>
  <si>
    <t>DELTA DENTAL PLAN</t>
  </si>
  <si>
    <t>VISION INSURANCE PLAN</t>
  </si>
  <si>
    <t xml:space="preserve"> LIFE INSURANCE PLAN</t>
  </si>
  <si>
    <t>LONG TERM DISABILITY INSURANCE</t>
  </si>
  <si>
    <t>UNEMPLOYMENT INSURANCE</t>
  </si>
  <si>
    <t>WORKERS COMP INSURANCE CONTR</t>
  </si>
  <si>
    <t>WORKER COMP EXPERIENCE COMPO</t>
  </si>
  <si>
    <t>OTHER BENEFITS - ADJUSTMENTS</t>
  </si>
  <si>
    <t>TOTAL SALARIES &amp; BENEFITS</t>
  </si>
  <si>
    <t>CLOTHING &amp; EQUIPMENT</t>
  </si>
  <si>
    <t>SAFETY EQUIPMENT</t>
  </si>
  <si>
    <t>DAIRY PRODUCTS</t>
  </si>
  <si>
    <t>MILK</t>
  </si>
  <si>
    <t>BAKERY PRODUCTS</t>
  </si>
  <si>
    <t>PRODUCE</t>
  </si>
  <si>
    <t>MEAT, FISH &amp; POULTRY</t>
  </si>
  <si>
    <t>FROZEN FOODS</t>
  </si>
  <si>
    <t>MISC. GROCERIES</t>
  </si>
  <si>
    <t>OTHER FOOD EXPENSE</t>
  </si>
  <si>
    <t>BEDDING</t>
  </si>
  <si>
    <t>OTHER HOUSEHOLD EXPENSE</t>
  </si>
  <si>
    <t>BLOOD PURCHASES &amp; SUPPLIES</t>
  </si>
  <si>
    <t>LABORATORY SUPPLIES</t>
  </si>
  <si>
    <t>MEDICAL TOOLS &amp; INSTRUMENTS</t>
  </si>
  <si>
    <t>MEDICAL/DENTAL SUPPLIES</t>
  </si>
  <si>
    <t>X-RAY/IMAGING SYSTEMS EXPENSE</t>
  </si>
  <si>
    <t>MEDICAL ELECTRONICS EQUIP.</t>
  </si>
  <si>
    <t>THERAPY SUPPLIES</t>
  </si>
  <si>
    <t>OTHER CLINICAL EXPENSE</t>
  </si>
  <si>
    <t>PAPER PRODUCTS EXPENSE</t>
  </si>
  <si>
    <t>GENERAL OFFICE SUPPLIES</t>
  </si>
  <si>
    <t>OFFICE WATER EXPENSE</t>
  </si>
  <si>
    <t>OTHER OFFICE EXPENSE</t>
  </si>
  <si>
    <t>COMPUTER SUPPLIES</t>
  </si>
  <si>
    <t>COMPUTER EQUIP UNDER $5000</t>
  </si>
  <si>
    <t>PC/LAN SOFTWARE</t>
  </si>
  <si>
    <t>VDT FURN/EQUIP/SUPPLIES</t>
  </si>
  <si>
    <t>MAINTENANCE TOOLS &amp; EQUIP.</t>
  </si>
  <si>
    <t>OFFICE FURNITURE &amp; EQUIP.</t>
  </si>
  <si>
    <t>OTHER SPECIALIZED FURN/EQUIP.</t>
  </si>
  <si>
    <t>CUSTODIAL TOOLS &amp; EQUIP.</t>
  </si>
  <si>
    <t>CUSTODIAL SUPPLIES</t>
  </si>
  <si>
    <t>FILM &amp; PHOTOGRAPHY EXPENSE</t>
  </si>
  <si>
    <t>FOOD SERVICE CHARGES</t>
  </si>
  <si>
    <t>SPECIAL MEALS CHARGES</t>
  </si>
  <si>
    <t>COPY CENTER CHARGES</t>
  </si>
  <si>
    <t>TOTAL SUPPLIES</t>
  </si>
  <si>
    <t>TUITION REIMBURSEMENT PROGRAM</t>
  </si>
  <si>
    <t>CONTRACT NURSING SERVICES</t>
  </si>
  <si>
    <t>CONTRACT THERAPY SERVICES</t>
  </si>
  <si>
    <t>OUTSIDE HOSPITAL SERVICE</t>
  </si>
  <si>
    <t>RESIDENCY EXPENSE</t>
  </si>
  <si>
    <t>OTHER PROFESSIONAL SERVICES</t>
  </si>
  <si>
    <t>PROF INDEPENDENT CONTRACTOR</t>
  </si>
  <si>
    <t>HOSPITAL &amp; O/P SERVICES</t>
  </si>
  <si>
    <t>CONTRACT MEDICAL GROUP</t>
  </si>
  <si>
    <t>TOTAL CONTRACT PROVIDER SERVICES</t>
  </si>
  <si>
    <t>KITCHEN &amp; DINING SERVICES</t>
  </si>
  <si>
    <t>LAUNDRY SERVICE</t>
  </si>
  <si>
    <t>OUTSIDE PRINTING &amp; COPY SVC.</t>
  </si>
  <si>
    <t>PHOTOCOPY LEASE &amp; USAGE</t>
  </si>
  <si>
    <t>SOFTWARE LICENSE/MAINT EXPENSE</t>
  </si>
  <si>
    <t>DATA STORAGE &amp; RETRIEVAL EXP.</t>
  </si>
  <si>
    <t>MOTOR VEHICLE EQUIP. MAIN</t>
  </si>
  <si>
    <t>LAB &amp; MEDICAL EQUIP MAIN</t>
  </si>
  <si>
    <t>COMPUTER/ELECTRONICS EQUIP MAIN</t>
  </si>
  <si>
    <t>OTHER GENERAL OFFICE EQUIP MAIN</t>
  </si>
  <si>
    <t>OTHER CONTRACT MAINT.</t>
  </si>
  <si>
    <t>MISC REPAIRS &amp; MAINT</t>
  </si>
  <si>
    <t>LUMBER &amp; CARPENTRY EXPENSE</t>
  </si>
  <si>
    <t>FLOORING &amp; CARPETING EXPENSE</t>
  </si>
  <si>
    <t>WINDOWS, GLASS &amp; GLAZING EXP</t>
  </si>
  <si>
    <t>LOCKS &amp; SECURITY SYSTEM EXP.</t>
  </si>
  <si>
    <t>SIGNAGE EXP.</t>
  </si>
  <si>
    <t>LIFE SAFETY SYSTEMS MAINT.</t>
  </si>
  <si>
    <t>FOOD SERVICE EQUIP MAINT</t>
  </si>
  <si>
    <t>OTHER GENERAL MAINT EXP.</t>
  </si>
  <si>
    <t>WATER SYSTEMS MAINT.</t>
  </si>
  <si>
    <t>H,j</t>
  </si>
  <si>
    <t>F,J</t>
  </si>
  <si>
    <t>H,K</t>
  </si>
  <si>
    <t>D, L,</t>
  </si>
  <si>
    <t>MISC. OTHER MAINT. EXP.</t>
  </si>
  <si>
    <t>CONTRACT CUSTODIAL SERVICES</t>
  </si>
  <si>
    <t>OFFICE EQUIPMENT RENTAL</t>
  </si>
  <si>
    <t>MEDICAL/DENTAL EQUIP RENTAL</t>
  </si>
  <si>
    <t>DIRECT FACILITY RENTAL EXPENSE</t>
  </si>
  <si>
    <t>ELECTRIC &amp; GAS UTILITIES</t>
  </si>
  <si>
    <t>SCAVENGER &amp; RECYCLING SERVICES</t>
  </si>
  <si>
    <t>WATER SERVICE</t>
  </si>
  <si>
    <t>HAS/BIO WASTE DISPOSAL</t>
  </si>
  <si>
    <t>CABLE TELEVISION - INSTITUTION</t>
  </si>
  <si>
    <t>TELEPHONE CHARGES</t>
  </si>
  <si>
    <t>CONTRACT SPECIAL MEDICAL SVC</t>
  </si>
  <si>
    <t>CONTRACT DENTAL SERVICES</t>
  </si>
  <si>
    <t>CONTRACT LABORATORY SERVICES</t>
  </si>
  <si>
    <t>CONTRACT LEGAL SERVICES</t>
  </si>
  <si>
    <t>CONTRACT SECURITY SERVICES</t>
  </si>
  <si>
    <t>CONTRACT ARCHITETURE &amp; DESIGN</t>
  </si>
  <si>
    <t>CONTRACT SPECIAL PROGRAM SERVICE.</t>
  </si>
  <si>
    <t>MANAGEMENT CONSULTING SERVICE</t>
  </si>
  <si>
    <t>OTHER PROFESSIONAL CONTRACT</t>
  </si>
  <si>
    <t>FINGERPRINTING &amp; CRIMINOLOGY</t>
  </si>
  <si>
    <t>IN-HOUSE ADMIN &amp; ACCTG SERVICE</t>
  </si>
  <si>
    <t>INTERAGENCY AGREEMENTS-COUNT</t>
  </si>
  <si>
    <t>ALCOHOL/DRUG TESTING &amp; TRTMNT</t>
  </si>
  <si>
    <t>CLIENT TRANSPORTATION EXPENSE</t>
  </si>
  <si>
    <t>AMBULANCE &amp; CAB SERVICES</t>
  </si>
  <si>
    <t>OTHER HEALTH CARE PERSONS</t>
  </si>
  <si>
    <t>PSP - MENTAL HEALTH</t>
  </si>
  <si>
    <t>PSP - ALCOHOL/DRUG PREVENTION SVC</t>
  </si>
  <si>
    <t>PSP - PUBLIC HEALTH SERVICES</t>
  </si>
  <si>
    <t>RADIO SERVICE CHARGES</t>
  </si>
  <si>
    <t>TELEPHONE SERVICE CHARGES</t>
  </si>
  <si>
    <t>AUTOMATION SERVICES - ISD</t>
  </si>
  <si>
    <t>COUNTY FACILITY RENTAL CHARGES</t>
  </si>
  <si>
    <t>OTHER FACILITIES MAINT CHARGES</t>
  </si>
  <si>
    <t>MOTOR VEHICLE MILEAGE CHARGE</t>
  </si>
  <si>
    <t>REVENUE COLLECTION CHARGES</t>
  </si>
  <si>
    <t>HUMAN RESOURCES SERVICES</t>
  </si>
  <si>
    <t>MOTOR VEHICLE REPLACEMENT CHARGE</t>
  </si>
  <si>
    <t>COUNTYWIDE SECURITY SERVICES</t>
  </si>
  <si>
    <t>A-97 EXPENSE</t>
  </si>
  <si>
    <t>TOTAL OTHER FEES &amp; PURCHASED SERVICES</t>
  </si>
  <si>
    <t>CASH, INVENTORY &amp; AUDIT DEFICIT</t>
  </si>
  <si>
    <t>MISC. OTHER EXPENSE</t>
  </si>
  <si>
    <t>BOOKS, MANUALS &amp; LITERATURE</t>
  </si>
  <si>
    <t>SUBSCRIPTIONS &amp; PERIODICALS</t>
  </si>
  <si>
    <t>POSTAGE &amp; MAILING EXPENSE</t>
  </si>
  <si>
    <t>BLOOD TEST FEES</t>
  </si>
  <si>
    <t>COUNTY MEMBERSHIPS</t>
  </si>
  <si>
    <t>PROFESSIONAL GROUPS &amp; ASSNS</t>
  </si>
  <si>
    <t>ADVERTISING &amp; PUBLICITY EXP.</t>
  </si>
  <si>
    <t>O, S</t>
  </si>
  <si>
    <t>Y</t>
  </si>
  <si>
    <t>D,R, P, Y</t>
  </si>
  <si>
    <t>DSH-IGT</t>
  </si>
  <si>
    <t>OUTSIDE MALPRACTICE INSURANCE</t>
  </si>
  <si>
    <t>OTHER MIS. INSURANCE EXP.</t>
  </si>
  <si>
    <t>FREIGHT &amp; DELIVERY SERVICES</t>
  </si>
  <si>
    <t>MILEAGE ALLOWANCE</t>
  </si>
  <si>
    <t>AIRFARE &amp; VEHICLE RENTAL</t>
  </si>
  <si>
    <t>EMPLOYEE MILEAGE REIMBURSEMENT</t>
  </si>
  <si>
    <t>CLIENT TRANSPORTATION CHARGE</t>
  </si>
  <si>
    <t>OTHER TRANSPORTATION EXP.</t>
  </si>
  <si>
    <t>MEETINGS 7 CONFERENCE EXP.</t>
  </si>
  <si>
    <t>MISC EMPLOYEE EXP REIMB.</t>
  </si>
  <si>
    <t>OTHER BUSINESS TRAVEL EXP.</t>
  </si>
  <si>
    <t>DEPT EMPLOYEE TRAINING EXP</t>
  </si>
  <si>
    <t>TRAINER &amp; WORKSHOP EXPENSE</t>
  </si>
  <si>
    <t>TRAIN &amp; EDUC MATERIALS/SUPPLIES</t>
  </si>
  <si>
    <t>MOVING &amp; RELOCATION EXP</t>
  </si>
  <si>
    <t>SERVICE &amp; EMPLOYEE RECOGNITION</t>
  </si>
  <si>
    <t>OTHER HUMAN RESOURCES EXPENSE</t>
  </si>
  <si>
    <t>REGISTRATION &amp; FILING FEES</t>
  </si>
  <si>
    <t>INVESTMENT-RELATED EXPENSE</t>
  </si>
  <si>
    <t>OTHER SPECIAL DEPT EXP</t>
  </si>
  <si>
    <t>OTHER EXP - SPECIAL ITEM</t>
  </si>
  <si>
    <t>MISC. OTHER CONTRIBUTIONS</t>
  </si>
  <si>
    <t>OTHER PENALTIES &amp; FORFEITURE</t>
  </si>
  <si>
    <t>TAXES &amp; ASSESSMENTS</t>
  </si>
  <si>
    <t xml:space="preserve">AUTO LIABILITY INSUARNCE </t>
  </si>
  <si>
    <t>HOSPITAL LIABLITY INSURANCE</t>
  </si>
  <si>
    <t>OFFICIAL BOND INSURANCE</t>
  </si>
  <si>
    <t>COUNTY PROPERTY INSURANCE</t>
  </si>
  <si>
    <t>VOLUNTEER INSURANCE</t>
  </si>
  <si>
    <t>ALL OTHER SERVICE CHARGES</t>
  </si>
  <si>
    <t>MISC. OTHER CHARGES</t>
  </si>
  <si>
    <t>TOTAL OTHER GENERAL EXPENSES</t>
  </si>
  <si>
    <t>OPERATING TSFR OUT - DEBT SVC</t>
  </si>
  <si>
    <t>OPERATING TSFR OUT - CAP PROJ</t>
  </si>
  <si>
    <t>TOTAL LEASE EXPENSE</t>
  </si>
  <si>
    <t>FIXED ASSETS - EQUIPMENT</t>
  </si>
  <si>
    <t>CAPITAL ASSETS - SOFTWARE</t>
  </si>
  <si>
    <t>TOTAL FIXED ASSETS</t>
  </si>
  <si>
    <t>DEPR. EQUIPMENT</t>
  </si>
  <si>
    <t>DEPR. - STRUCT. &amp; IMPROVEMENTS</t>
  </si>
  <si>
    <t>AMORTIZATION - SOFTWARE</t>
  </si>
  <si>
    <t>TOTAL DEPRECIATION</t>
  </si>
  <si>
    <t>T O T A L  O P E R A T I N G  E X P.</t>
  </si>
  <si>
    <t>INTEREST INCOME</t>
  </si>
  <si>
    <t>INTEREST EXPENSE</t>
  </si>
  <si>
    <t>LOSS FROM DISPOSAL OF CAPITAL ASSETS</t>
  </si>
  <si>
    <t>STATE AND FEDERAL GRANTS &amp; OTHER</t>
  </si>
  <si>
    <t>SECURITIES LENDING INCOME</t>
  </si>
  <si>
    <t>SECURITIES LENDING EXPENSES</t>
  </si>
  <si>
    <t>RECEIPTS - INTEREST</t>
  </si>
  <si>
    <t>AVG. DAILY CASH BALANCE</t>
  </si>
  <si>
    <t>0983</t>
  </si>
  <si>
    <t>0912</t>
  </si>
  <si>
    <t>0993</t>
  </si>
  <si>
    <t>TOTAL INTEREST INCOME</t>
  </si>
  <si>
    <t>INTEREST ON LONG TERM DEBT</t>
  </si>
  <si>
    <t>INTEREST ON SHORT TERM DEBT</t>
  </si>
  <si>
    <t>TOTAL INTEREST EXPENSE</t>
  </si>
  <si>
    <t>STATE AID - AB915 - ANTI TERRORISM</t>
  </si>
  <si>
    <t>STATE AID - TCM/MAA</t>
  </si>
  <si>
    <t>STATE AID - OTHER FED GRANTS</t>
  </si>
  <si>
    <t>STATE AID - OTHER PUBLIC HLTH</t>
  </si>
  <si>
    <t>TOTAL STATE AND FEDERAL GRANTS</t>
  </si>
  <si>
    <t>COUNTY SUBVENTION</t>
  </si>
  <si>
    <t>OPERATING TRANSFER IN</t>
  </si>
  <si>
    <t>TOTAL SUBSIDY FROM COUNTY GENERAL FUND</t>
  </si>
  <si>
    <t>SECURITIES LENDING ACTIVITIES</t>
  </si>
  <si>
    <t>T O T A L  N O N O P E R A T I N G  R E V. (E X P.)</t>
  </si>
  <si>
    <t>CONTRIBUTIONS FROM OTHER FUNDS</t>
  </si>
  <si>
    <t>T O T A L  C A P I T A L  C O N T R I B U T I O N S</t>
  </si>
  <si>
    <t>DUE TO OTHER GOVT. AGENCIES</t>
  </si>
  <si>
    <t>ACCRUED SALARIES &amp; BENEFITS</t>
  </si>
  <si>
    <t>HEALTH PLAN OF SAN MATEO</t>
  </si>
  <si>
    <t>CLOSING</t>
  </si>
  <si>
    <t>ACCUM. DEPRECIATION</t>
  </si>
  <si>
    <t>2521</t>
  </si>
  <si>
    <t>2526</t>
  </si>
  <si>
    <t>2545</t>
  </si>
  <si>
    <t>2235</t>
  </si>
  <si>
    <t>PUBLIC HEALTH NURSING SERV</t>
  </si>
  <si>
    <t>2636</t>
  </si>
  <si>
    <t>2637</t>
  </si>
  <si>
    <t>JL SALARY &amp; BEN OFFSET MEMO</t>
  </si>
  <si>
    <t>CONTRACT PHYSICAL SERVICES</t>
  </si>
  <si>
    <t>THIRD PARTY REIMBURSEMENTS</t>
  </si>
  <si>
    <t>MISC HEALTH SERVICE FEES</t>
  </si>
  <si>
    <t>MEDICARE</t>
  </si>
  <si>
    <t>LIBRARY FEES &amp; FINES</t>
  </si>
  <si>
    <t>WITNESS &amp; JURY FEES</t>
  </si>
  <si>
    <t>BENEFIT ADJUSTMENTS</t>
  </si>
  <si>
    <t>AGRICULTURAL EXPENSE</t>
  </si>
  <si>
    <t>PERSONAL SUPPLIES</t>
  </si>
  <si>
    <t>PROPRIETARY SOFTWARE PURCHASED</t>
  </si>
  <si>
    <t>PROFESSIONAL TOOLS &amp; EQUIPMENT</t>
  </si>
  <si>
    <t>VECTOR CONTROL EXPENSE</t>
  </si>
  <si>
    <t>VEHICLE REPAIRS &amp; TOWING</t>
  </si>
  <si>
    <t>CEILING &amp; WALLCOVERING EXP</t>
  </si>
  <si>
    <t>CONTRACT HEALTH SERVICES O</t>
  </si>
  <si>
    <t>PW ENGINEERING SERVICES</t>
  </si>
  <si>
    <t>HOSPITAL DAY COST</t>
  </si>
  <si>
    <t>PSP PREVENTION &amp; OUTREACH</t>
  </si>
  <si>
    <t>TAXES APPORTIONED</t>
  </si>
  <si>
    <t>GENERAL LIABILITY INSURANCE</t>
  </si>
  <si>
    <t>FIXED ASSETS -STRUCTURES</t>
  </si>
  <si>
    <t>FAIR VALUE ADJUSTMENT</t>
  </si>
  <si>
    <t>BOND PROCEEDS</t>
  </si>
  <si>
    <t>TRUST FUND BALANCE</t>
  </si>
  <si>
    <t>DEBIT</t>
  </si>
  <si>
    <t>gross charges for services</t>
  </si>
  <si>
    <t>contractual allowances</t>
  </si>
  <si>
    <t>bad debts</t>
  </si>
  <si>
    <t>other program revenues</t>
  </si>
  <si>
    <t xml:space="preserve">change from 07 </t>
  </si>
  <si>
    <t>to 08</t>
  </si>
  <si>
    <t>net capital assets</t>
  </si>
  <si>
    <t xml:space="preserve">change in </t>
  </si>
  <si>
    <t>difference</t>
  </si>
  <si>
    <t>explanation</t>
  </si>
  <si>
    <t>see cash flow statement</t>
  </si>
  <si>
    <t>see statement of changes in net assets</t>
  </si>
  <si>
    <t>behind in processing contracts</t>
  </si>
  <si>
    <t>FRANCIS</t>
  </si>
  <si>
    <t>Current</t>
  </si>
  <si>
    <t>Frequency</t>
  </si>
  <si>
    <t>Annual</t>
  </si>
  <si>
    <t>Monthly</t>
  </si>
  <si>
    <t>ATTACHMENT 2</t>
  </si>
  <si>
    <t>RECONCILIATION ASSIGNMENTS AND STATUS</t>
  </si>
  <si>
    <t>ASSETS</t>
  </si>
  <si>
    <t>#</t>
  </si>
  <si>
    <t>6/30/18</t>
  </si>
  <si>
    <t>GL Balance</t>
  </si>
  <si>
    <t>Account Name</t>
  </si>
  <si>
    <t xml:space="preserve">Daily </t>
  </si>
  <si>
    <t>CASH AND INVESTMENTS</t>
  </si>
  <si>
    <t>CASH IN BANK</t>
  </si>
  <si>
    <t xml:space="preserve">PETTY CASH </t>
  </si>
  <si>
    <t>CASH IN LAIF</t>
  </si>
  <si>
    <t>INVESTMENTS</t>
  </si>
  <si>
    <t>GRANTS RECEIVABLE</t>
  </si>
  <si>
    <t>RECEIVABLES</t>
  </si>
  <si>
    <t>RECEIVABLE - OTHER</t>
  </si>
  <si>
    <t xml:space="preserve">ALLOW DOUBT ACCT </t>
  </si>
  <si>
    <t>DUE FROM OTHER FUNDS</t>
  </si>
  <si>
    <t>DUE FROM OTHER GOV'TS</t>
  </si>
  <si>
    <t>NET PENSION LIABILITY</t>
  </si>
  <si>
    <t>NET OPEB LIABILITY</t>
  </si>
  <si>
    <t>CONSTRUCTION IN PROGRESS</t>
  </si>
  <si>
    <t>INFRASTRUCTURE</t>
  </si>
  <si>
    <t>INTANGIBLES</t>
  </si>
  <si>
    <t>CAPITAL ASSETS</t>
  </si>
  <si>
    <t xml:space="preserve">ACCOUNTS PAYABLE </t>
  </si>
  <si>
    <t>COMPENSATED ABSENCES</t>
  </si>
  <si>
    <t>LONG TERM DEBT</t>
  </si>
  <si>
    <t>FUND BALANCE</t>
  </si>
  <si>
    <t>RECONCILER</t>
  </si>
  <si>
    <t>REVIEWER</t>
  </si>
  <si>
    <t>Name</t>
  </si>
  <si>
    <t>Date</t>
  </si>
  <si>
    <t>Arnie</t>
  </si>
  <si>
    <t>Kristina</t>
  </si>
  <si>
    <t>Juju</t>
  </si>
  <si>
    <t>Monique</t>
  </si>
  <si>
    <t>Maurkice</t>
  </si>
  <si>
    <t>Renee</t>
  </si>
  <si>
    <t>Harry</t>
  </si>
  <si>
    <t>Maria</t>
  </si>
  <si>
    <t>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</si>
</sst>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"/>
    <numFmt numFmtId="165" formatCode="_(* #,##0_);_(* \(#,##0\);_(* &quot;-&quot;??_);_(@_)"/>
  </numFmts>
  <fonts count="14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sz val="7"/>
      <name val="Times New Roman"/>
    </font>
    <font>
      <u/>
      <sz val="12"/>
      <name val="Arial"/>
      <family val="2"/>
    </font>
    <font>
      <b/>
      <i/>
      <u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3" fillId="0" borderId="0"/>
    <xf numFmtId="0" fontId="6" fillId="0" borderId="0"/>
  </cellStyleXfs>
  <cellXfs count="1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3" applyFont="1" applyAlignment="1">
      <alignment horizontal="left"/>
    </xf>
    <xf numFmtId="0" fontId="2" fillId="0" borderId="0" xfId="3" applyFont="1" applyAlignment="1"/>
    <xf numFmtId="164" fontId="2" fillId="0" borderId="0" xfId="3" applyNumberFormat="1" applyFont="1" applyAlignment="1"/>
    <xf numFmtId="38" fontId="2" fillId="0" borderId="0" xfId="3" applyNumberFormat="1" applyFont="1" applyAlignment="1"/>
    <xf numFmtId="38" fontId="4" fillId="0" borderId="0" xfId="3" applyNumberFormat="1" applyFont="1" applyAlignment="1">
      <alignment horizontal="center"/>
    </xf>
    <xf numFmtId="0" fontId="2" fillId="0" borderId="0" xfId="0" applyFont="1"/>
    <xf numFmtId="164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3" applyNumberFormat="1" applyFont="1" applyAlignment="1">
      <alignment horizontal="center"/>
    </xf>
    <xf numFmtId="38" fontId="4" fillId="0" borderId="0" xfId="3" quotePrefix="1" applyNumberFormat="1" applyFont="1" applyAlignment="1">
      <alignment horizontal="center"/>
    </xf>
    <xf numFmtId="0" fontId="8" fillId="0" borderId="0" xfId="3" applyFont="1" applyAlignment="1">
      <alignment horizontal="left"/>
    </xf>
    <xf numFmtId="38" fontId="5" fillId="0" borderId="0" xfId="3" applyNumberFormat="1" applyFont="1" applyAlignment="1"/>
    <xf numFmtId="0" fontId="5" fillId="0" borderId="0" xfId="3" applyFont="1" applyAlignment="1"/>
    <xf numFmtId="38" fontId="5" fillId="0" borderId="0" xfId="3" applyNumberFormat="1" applyFont="1" applyBorder="1" applyAlignment="1"/>
    <xf numFmtId="38" fontId="5" fillId="0" borderId="0" xfId="3" applyNumberFormat="1" applyFont="1" applyAlignment="1" applyProtection="1">
      <protection locked="0"/>
    </xf>
    <xf numFmtId="38" fontId="9" fillId="0" borderId="0" xfId="3" applyNumberFormat="1" applyFont="1" applyAlignment="1"/>
    <xf numFmtId="0" fontId="5" fillId="0" borderId="0" xfId="3" quotePrefix="1" applyFont="1" applyAlignment="1">
      <alignment horizontal="left"/>
    </xf>
    <xf numFmtId="38" fontId="2" fillId="0" borderId="0" xfId="3" applyNumberFormat="1" applyFont="1" applyBorder="1" applyAlignment="1"/>
    <xf numFmtId="38" fontId="5" fillId="0" borderId="0" xfId="0" applyNumberFormat="1" applyFont="1"/>
    <xf numFmtId="0" fontId="5" fillId="0" borderId="0" xfId="0" applyFont="1" applyBorder="1"/>
    <xf numFmtId="38" fontId="2" fillId="0" borderId="1" xfId="3" applyNumberFormat="1" applyFont="1" applyBorder="1" applyAlignment="1"/>
    <xf numFmtId="37" fontId="5" fillId="0" borderId="0" xfId="3" applyNumberFormat="1" applyFont="1" applyAlignment="1"/>
    <xf numFmtId="38" fontId="10" fillId="0" borderId="0" xfId="3" applyNumberFormat="1" applyFont="1" applyBorder="1" applyAlignment="1"/>
    <xf numFmtId="0" fontId="5" fillId="0" borderId="0" xfId="3" quotePrefix="1" applyFont="1" applyAlignment="1"/>
    <xf numFmtId="37" fontId="5" fillId="0" borderId="0" xfId="3" applyNumberFormat="1" applyFont="1" applyFill="1" applyAlignment="1"/>
    <xf numFmtId="38" fontId="9" fillId="0" borderId="0" xfId="3" applyNumberFormat="1" applyFont="1" applyBorder="1" applyAlignment="1"/>
    <xf numFmtId="0" fontId="5" fillId="0" borderId="0" xfId="0" applyFont="1" applyFill="1"/>
    <xf numFmtId="38" fontId="5" fillId="0" borderId="0" xfId="3" applyNumberFormat="1" applyFont="1" applyFill="1" applyAlignment="1"/>
    <xf numFmtId="38" fontId="2" fillId="0" borderId="2" xfId="3" applyNumberFormat="1" applyFont="1" applyFill="1" applyBorder="1" applyAlignment="1"/>
    <xf numFmtId="38" fontId="2" fillId="0" borderId="0" xfId="3" applyNumberFormat="1" applyFont="1" applyFill="1" applyBorder="1" applyAlignment="1"/>
    <xf numFmtId="38" fontId="2" fillId="0" borderId="1" xfId="3" applyNumberFormat="1" applyFont="1" applyFill="1" applyBorder="1" applyAlignment="1"/>
    <xf numFmtId="38" fontId="2" fillId="0" borderId="2" xfId="3" applyNumberFormat="1" applyFont="1" applyBorder="1" applyAlignment="1"/>
    <xf numFmtId="38" fontId="5" fillId="0" borderId="2" xfId="3" applyNumberFormat="1" applyFont="1" applyBorder="1" applyAlignment="1"/>
    <xf numFmtId="37" fontId="2" fillId="0" borderId="2" xfId="3" applyNumberFormat="1" applyFont="1" applyBorder="1" applyAlignment="1"/>
    <xf numFmtId="37" fontId="2" fillId="0" borderId="3" xfId="3" applyNumberFormat="1" applyFont="1" applyBorder="1" applyAlignment="1"/>
    <xf numFmtId="38" fontId="2" fillId="0" borderId="3" xfId="3" applyNumberFormat="1" applyFont="1" applyBorder="1" applyAlignment="1"/>
    <xf numFmtId="37" fontId="2" fillId="0" borderId="0" xfId="3" applyNumberFormat="1" applyFont="1" applyBorder="1" applyAlignment="1"/>
    <xf numFmtId="0" fontId="2" fillId="0" borderId="0" xfId="3" applyFont="1" applyAlignment="1">
      <alignment horizontal="right"/>
    </xf>
    <xf numFmtId="38" fontId="2" fillId="0" borderId="4" xfId="3" applyNumberFormat="1" applyFont="1" applyBorder="1" applyAlignment="1"/>
    <xf numFmtId="38" fontId="9" fillId="0" borderId="0" xfId="3" applyNumberFormat="1" applyFont="1" applyFill="1" applyAlignment="1"/>
    <xf numFmtId="0" fontId="5" fillId="0" borderId="0" xfId="3" applyFont="1" applyFill="1" applyAlignment="1"/>
    <xf numFmtId="38" fontId="5" fillId="0" borderId="0" xfId="3" applyNumberFormat="1" applyFont="1" applyFill="1" applyBorder="1" applyAlignment="1"/>
    <xf numFmtId="37" fontId="5" fillId="0" borderId="0" xfId="3" applyNumberFormat="1" applyFont="1" applyBorder="1" applyAlignment="1"/>
    <xf numFmtId="37" fontId="5" fillId="0" borderId="0" xfId="3" applyNumberFormat="1" applyFont="1" applyFill="1" applyBorder="1" applyAlignment="1"/>
    <xf numFmtId="0" fontId="2" fillId="0" borderId="0" xfId="3" applyFont="1" applyFill="1" applyAlignment="1"/>
    <xf numFmtId="37" fontId="2" fillId="0" borderId="2" xfId="3" applyNumberFormat="1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Border="1"/>
    <xf numFmtId="37" fontId="2" fillId="0" borderId="0" xfId="3" applyNumberFormat="1" applyFont="1" applyFill="1" applyBorder="1" applyAlignment="1"/>
    <xf numFmtId="37" fontId="2" fillId="0" borderId="1" xfId="3" applyNumberFormat="1" applyFont="1" applyBorder="1" applyAlignment="1"/>
    <xf numFmtId="0" fontId="8" fillId="0" borderId="0" xfId="3" applyFont="1" applyAlignment="1"/>
    <xf numFmtId="0" fontId="5" fillId="0" borderId="0" xfId="3" applyFont="1" applyBorder="1" applyAlignment="1"/>
    <xf numFmtId="0" fontId="5" fillId="0" borderId="0" xfId="3" applyFont="1" applyAlignment="1">
      <alignment horizontal="left"/>
    </xf>
    <xf numFmtId="0" fontId="2" fillId="0" borderId="0" xfId="3" applyFont="1" applyBorder="1" applyAlignment="1"/>
    <xf numFmtId="0" fontId="2" fillId="0" borderId="0" xfId="0" applyFont="1" applyBorder="1"/>
    <xf numFmtId="0" fontId="12" fillId="0" borderId="0" xfId="3" applyFont="1" applyAlignment="1">
      <alignment horizontal="left"/>
    </xf>
    <xf numFmtId="0" fontId="5" fillId="0" borderId="0" xfId="3" applyFont="1" applyFill="1" applyAlignment="1">
      <alignment horizontal="left"/>
    </xf>
    <xf numFmtId="0" fontId="2" fillId="0" borderId="0" xfId="3" applyNumberFormat="1" applyFont="1" applyAlignment="1" applyProtection="1">
      <alignment horizontal="left"/>
      <protection locked="0"/>
    </xf>
    <xf numFmtId="0" fontId="5" fillId="0" borderId="0" xfId="3" applyNumberFormat="1" applyFont="1" applyAlignment="1" applyProtection="1">
      <alignment horizontal="left"/>
      <protection locked="0"/>
    </xf>
    <xf numFmtId="0" fontId="2" fillId="0" borderId="0" xfId="3" applyNumberFormat="1" applyFont="1" applyBorder="1" applyAlignment="1" applyProtection="1">
      <alignment horizontal="left"/>
      <protection locked="0"/>
    </xf>
    <xf numFmtId="38" fontId="2" fillId="0" borderId="2" xfId="0" applyNumberFormat="1" applyFont="1" applyBorder="1"/>
    <xf numFmtId="38" fontId="2" fillId="0" borderId="0" xfId="0" applyNumberFormat="1" applyFont="1" applyBorder="1"/>
    <xf numFmtId="38" fontId="5" fillId="0" borderId="0" xfId="0" applyNumberFormat="1" applyFont="1" applyFill="1"/>
    <xf numFmtId="0" fontId="2" fillId="0" borderId="0" xfId="3" applyFont="1" applyBorder="1" applyAlignment="1">
      <alignment horizontal="right"/>
    </xf>
    <xf numFmtId="37" fontId="5" fillId="0" borderId="0" xfId="0" applyNumberFormat="1" applyFont="1"/>
    <xf numFmtId="37" fontId="5" fillId="0" borderId="0" xfId="0" applyNumberFormat="1" applyFont="1" applyFill="1"/>
    <xf numFmtId="37" fontId="2" fillId="0" borderId="1" xfId="3" applyNumberFormat="1" applyFont="1" applyFill="1" applyBorder="1" applyAlignment="1"/>
    <xf numFmtId="37" fontId="5" fillId="0" borderId="1" xfId="3" applyNumberFormat="1" applyFont="1" applyBorder="1" applyAlignment="1"/>
    <xf numFmtId="37" fontId="5" fillId="0" borderId="5" xfId="3" applyNumberFormat="1" applyFont="1" applyBorder="1" applyAlignment="1"/>
    <xf numFmtId="3" fontId="5" fillId="0" borderId="0" xfId="0" applyNumberFormat="1" applyFont="1" applyFill="1"/>
    <xf numFmtId="3" fontId="5" fillId="0" borderId="0" xfId="0" applyNumberFormat="1" applyFont="1" applyFill="1" applyBorder="1"/>
    <xf numFmtId="38" fontId="5" fillId="0" borderId="0" xfId="0" applyNumberFormat="1" applyFont="1" applyBorder="1"/>
    <xf numFmtId="10" fontId="5" fillId="0" borderId="0" xfId="0" applyNumberFormat="1" applyFont="1"/>
    <xf numFmtId="10" fontId="5" fillId="0" borderId="0" xfId="0" applyNumberFormat="1" applyFont="1" applyFill="1"/>
    <xf numFmtId="10" fontId="5" fillId="0" borderId="0" xfId="0" applyNumberFormat="1" applyFont="1" applyFill="1" applyBorder="1"/>
    <xf numFmtId="10" fontId="5" fillId="0" borderId="0" xfId="0" applyNumberFormat="1" applyFont="1" applyBorder="1"/>
    <xf numFmtId="10" fontId="2" fillId="0" borderId="0" xfId="0" applyNumberFormat="1" applyFont="1" applyBorder="1"/>
    <xf numFmtId="10" fontId="2" fillId="0" borderId="0" xfId="0" applyNumberFormat="1" applyFont="1"/>
    <xf numFmtId="3" fontId="5" fillId="0" borderId="0" xfId="3" applyNumberFormat="1" applyFont="1" applyFill="1" applyBorder="1" applyAlignment="1"/>
    <xf numFmtId="49" fontId="5" fillId="0" borderId="0" xfId="0" applyNumberFormat="1" applyFont="1" applyBorder="1" applyAlignment="1">
      <alignment wrapText="1"/>
    </xf>
    <xf numFmtId="38" fontId="5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38" fontId="7" fillId="0" borderId="0" xfId="3" applyNumberFormat="1" applyFont="1" applyAlignment="1">
      <alignment horizontal="center"/>
    </xf>
    <xf numFmtId="49" fontId="5" fillId="0" borderId="0" xfId="0" applyNumberFormat="1" applyFont="1" applyAlignment="1">
      <alignment shrinkToFi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/>
    <xf numFmtId="49" fontId="2" fillId="0" borderId="0" xfId="0" applyNumberFormat="1" applyFont="1"/>
    <xf numFmtId="49" fontId="5" fillId="0" borderId="0" xfId="0" applyNumberFormat="1" applyFont="1" applyFill="1"/>
    <xf numFmtId="49" fontId="5" fillId="0" borderId="0" xfId="0" applyNumberFormat="1" applyFont="1" applyFill="1" applyBorder="1"/>
    <xf numFmtId="49" fontId="2" fillId="0" borderId="0" xfId="0" applyNumberFormat="1" applyFont="1" applyBorder="1"/>
    <xf numFmtId="49" fontId="5" fillId="0" borderId="0" xfId="0" applyNumberFormat="1" applyFont="1" applyBorder="1"/>
    <xf numFmtId="38" fontId="5" fillId="0" borderId="0" xfId="3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5" fillId="0" borderId="0" xfId="3" applyNumberFormat="1" applyFont="1" applyFill="1" applyBorder="1" applyAlignment="1">
      <alignment horizontal="center"/>
    </xf>
    <xf numFmtId="37" fontId="5" fillId="0" borderId="0" xfId="3" applyNumberFormat="1" applyFont="1" applyFill="1" applyBorder="1" applyAlignment="1">
      <alignment horizontal="center"/>
    </xf>
    <xf numFmtId="37" fontId="5" fillId="0" borderId="0" xfId="3" applyNumberFormat="1" applyFont="1" applyBorder="1" applyAlignment="1">
      <alignment horizontal="center"/>
    </xf>
    <xf numFmtId="37" fontId="5" fillId="0" borderId="0" xfId="3" applyNumberFormat="1" applyFont="1" applyAlignment="1">
      <alignment horizontal="center"/>
    </xf>
    <xf numFmtId="41" fontId="5" fillId="0" borderId="0" xfId="0" applyNumberFormat="1" applyFont="1"/>
    <xf numFmtId="41" fontId="5" fillId="0" borderId="1" xfId="0" applyNumberFormat="1" applyFont="1" applyBorder="1"/>
    <xf numFmtId="41" fontId="5" fillId="0" borderId="5" xfId="0" applyNumberFormat="1" applyFont="1" applyBorder="1"/>
    <xf numFmtId="42" fontId="5" fillId="0" borderId="0" xfId="0" applyNumberFormat="1" applyFont="1"/>
    <xf numFmtId="41" fontId="5" fillId="0" borderId="0" xfId="0" applyNumberFormat="1" applyFont="1" applyBorder="1"/>
    <xf numFmtId="42" fontId="5" fillId="0" borderId="0" xfId="0" applyNumberFormat="1" applyFont="1" applyBorder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3" fontId="2" fillId="0" borderId="0" xfId="0" applyNumberFormat="1" applyFont="1" applyFill="1" applyBorder="1"/>
    <xf numFmtId="0" fontId="5" fillId="2" borderId="0" xfId="3" applyFont="1" applyFill="1" applyAlignment="1"/>
    <xf numFmtId="37" fontId="5" fillId="0" borderId="0" xfId="0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0" xfId="3" quotePrefix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3" quotePrefix="1" applyFont="1" applyBorder="1" applyAlignment="1">
      <alignment horizontal="left"/>
    </xf>
    <xf numFmtId="0" fontId="12" fillId="0" borderId="0" xfId="3" quotePrefix="1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12" fillId="0" borderId="0" xfId="3" applyFont="1" applyBorder="1" applyAlignment="1">
      <alignment horizontal="left"/>
    </xf>
    <xf numFmtId="0" fontId="5" fillId="2" borderId="0" xfId="3" applyFont="1" applyFill="1" applyBorder="1" applyAlignment="1">
      <alignment horizontal="left"/>
    </xf>
    <xf numFmtId="0" fontId="12" fillId="2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12" fillId="0" borderId="0" xfId="3" applyFont="1" applyFill="1" applyBorder="1" applyAlignment="1">
      <alignment horizontal="left"/>
    </xf>
    <xf numFmtId="0" fontId="4" fillId="0" borderId="0" xfId="3" applyFont="1" applyBorder="1" applyAlignment="1">
      <alignment horizontal="center"/>
    </xf>
    <xf numFmtId="165" fontId="5" fillId="0" borderId="0" xfId="1" quotePrefix="1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gpfs" xfId="2" xr:uid="{00000000-0005-0000-0000-000001000000}"/>
    <cellStyle name="Normal" xfId="0" builtinId="0"/>
    <cellStyle name="Normal_FY04FINSTMN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00"/>
  <sheetViews>
    <sheetView tabSelected="1" view="pageBreakPreview" zoomScale="60" zoomScaleNormal="75" workbookViewId="0">
      <pane xSplit="6" ySplit="4" topLeftCell="T5" activePane="bottomRight" state="frozen"/>
      <selection pane="topRight" activeCell="G1" sqref="G1"/>
      <selection pane="bottomLeft" activeCell="A8" sqref="A8"/>
      <selection pane="bottomRight" activeCell="AI9" sqref="AI9"/>
    </sheetView>
  </sheetViews>
  <sheetFormatPr baseColWidth="10" defaultColWidth="9.1640625" defaultRowHeight="16"/>
  <cols>
    <col min="1" max="1" width="7.1640625" style="119" customWidth="1"/>
    <col min="2" max="2" width="4.5" style="1" customWidth="1"/>
    <col min="3" max="4" width="4" style="1" customWidth="1"/>
    <col min="5" max="5" width="4.1640625" style="1" customWidth="1"/>
    <col min="6" max="6" width="33.83203125" style="1" customWidth="1"/>
    <col min="7" max="9" width="19.5" style="1" hidden="1" customWidth="1"/>
    <col min="10" max="10" width="18.6640625" style="1" hidden="1" customWidth="1"/>
    <col min="11" max="11" width="1" style="1" hidden="1" customWidth="1"/>
    <col min="12" max="12" width="19.33203125" style="1" hidden="1" customWidth="1"/>
    <col min="13" max="13" width="17.6640625" style="1" hidden="1" customWidth="1"/>
    <col min="14" max="14" width="16.5" style="1" hidden="1" customWidth="1"/>
    <col min="15" max="15" width="19" style="1" hidden="1" customWidth="1"/>
    <col min="16" max="16" width="20.5" style="1" hidden="1" customWidth="1"/>
    <col min="17" max="17" width="14.6640625" style="2" hidden="1" customWidth="1"/>
    <col min="18" max="18" width="15.6640625" style="1" hidden="1" customWidth="1"/>
    <col min="19" max="19" width="7.6640625" style="1" hidden="1" customWidth="1"/>
    <col min="20" max="20" width="21.1640625" style="1" customWidth="1"/>
    <col min="21" max="21" width="19" style="73" hidden="1" customWidth="1"/>
    <col min="22" max="22" width="19.5" style="1" hidden="1" customWidth="1"/>
    <col min="23" max="23" width="18" style="1" hidden="1" customWidth="1"/>
    <col min="24" max="24" width="14" style="1" hidden="1" customWidth="1"/>
    <col min="25" max="25" width="17.83203125" style="76" hidden="1" customWidth="1"/>
    <col min="26" max="26" width="45.83203125" style="89" hidden="1" customWidth="1"/>
    <col min="27" max="27" width="16.6640625" style="2" hidden="1" customWidth="1"/>
    <col min="28" max="28" width="17" style="2" customWidth="1"/>
    <col min="29" max="29" width="12" style="2" bestFit="1" customWidth="1"/>
    <col min="30" max="32" width="9.1640625" style="2"/>
    <col min="33" max="16384" width="9.1640625" style="1"/>
  </cols>
  <sheetData>
    <row r="1" spans="1:32">
      <c r="A1" s="116"/>
      <c r="B1" s="4" t="s">
        <v>506</v>
      </c>
      <c r="C1" s="4"/>
      <c r="D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84"/>
      <c r="R1" s="7"/>
      <c r="S1" s="7"/>
      <c r="T1" s="6"/>
    </row>
    <row r="2" spans="1:32">
      <c r="A2" s="116"/>
      <c r="B2" s="8" t="s">
        <v>507</v>
      </c>
      <c r="C2" s="4"/>
      <c r="D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84"/>
      <c r="R2" s="6"/>
      <c r="S2" s="6"/>
      <c r="T2" s="6"/>
    </row>
    <row r="3" spans="1:32">
      <c r="A3" s="116" t="s">
        <v>86</v>
      </c>
      <c r="B3" s="10"/>
      <c r="C3" s="10"/>
      <c r="D3" s="10"/>
      <c r="E3" s="4"/>
      <c r="F3" s="4"/>
      <c r="G3" s="7" t="s">
        <v>84</v>
      </c>
      <c r="H3" s="7" t="s">
        <v>84</v>
      </c>
      <c r="I3" s="7" t="s">
        <v>84</v>
      </c>
      <c r="J3" s="9" t="s">
        <v>85</v>
      </c>
      <c r="K3" s="9"/>
      <c r="L3" s="9">
        <v>39994</v>
      </c>
      <c r="M3" s="9">
        <v>39994</v>
      </c>
      <c r="N3" s="9">
        <v>39994</v>
      </c>
      <c r="O3" s="9">
        <v>39994</v>
      </c>
      <c r="P3" s="11" t="s">
        <v>453</v>
      </c>
      <c r="Q3" s="85" t="s">
        <v>80</v>
      </c>
      <c r="R3" s="9" t="s">
        <v>453</v>
      </c>
      <c r="S3" s="9"/>
      <c r="T3" s="9" t="s">
        <v>511</v>
      </c>
      <c r="U3" s="108" t="s">
        <v>492</v>
      </c>
      <c r="AC3" s="135" t="s">
        <v>535</v>
      </c>
      <c r="AD3" s="135"/>
      <c r="AE3" s="135" t="s">
        <v>536</v>
      </c>
      <c r="AF3" s="135"/>
    </row>
    <row r="4" spans="1:32">
      <c r="A4" s="132" t="s">
        <v>509</v>
      </c>
      <c r="B4" s="3" t="s">
        <v>512</v>
      </c>
      <c r="C4" s="3"/>
      <c r="D4" s="3"/>
      <c r="G4" s="12">
        <v>38898</v>
      </c>
      <c r="H4" s="12">
        <v>39263</v>
      </c>
      <c r="I4" s="12">
        <v>39629</v>
      </c>
      <c r="J4" s="13" t="s">
        <v>32</v>
      </c>
      <c r="K4" s="7"/>
      <c r="L4" s="7" t="s">
        <v>88</v>
      </c>
      <c r="M4" s="7" t="s">
        <v>89</v>
      </c>
      <c r="N4" s="7" t="s">
        <v>90</v>
      </c>
      <c r="O4" s="7" t="s">
        <v>87</v>
      </c>
      <c r="P4" s="12" t="s">
        <v>487</v>
      </c>
      <c r="Q4" s="86" t="s">
        <v>91</v>
      </c>
      <c r="R4" s="7" t="s">
        <v>92</v>
      </c>
      <c r="S4" s="7"/>
      <c r="T4" s="13" t="s">
        <v>510</v>
      </c>
      <c r="U4" s="108" t="s">
        <v>493</v>
      </c>
      <c r="Z4" s="90" t="s">
        <v>497</v>
      </c>
      <c r="AA4" s="2" t="s">
        <v>502</v>
      </c>
      <c r="AB4" s="11" t="s">
        <v>503</v>
      </c>
      <c r="AC4" s="11" t="s">
        <v>537</v>
      </c>
      <c r="AD4" s="11" t="s">
        <v>538</v>
      </c>
      <c r="AE4" s="11" t="s">
        <v>537</v>
      </c>
      <c r="AF4" s="11" t="s">
        <v>538</v>
      </c>
    </row>
    <row r="5" spans="1:32">
      <c r="A5" s="117" t="s">
        <v>93</v>
      </c>
      <c r="B5" s="14" t="s">
        <v>508</v>
      </c>
      <c r="C5" s="14"/>
      <c r="D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84"/>
      <c r="R5" s="15"/>
      <c r="S5" s="15"/>
      <c r="T5" s="25"/>
    </row>
    <row r="6" spans="1:32">
      <c r="A6" s="117"/>
      <c r="B6" s="16"/>
      <c r="C6" s="16" t="s">
        <v>514</v>
      </c>
      <c r="D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95"/>
      <c r="R6" s="17"/>
      <c r="S6" s="17"/>
      <c r="T6" s="17"/>
    </row>
    <row r="7" spans="1:32">
      <c r="A7" s="117">
        <v>111</v>
      </c>
      <c r="B7" s="16"/>
      <c r="C7" s="16"/>
      <c r="D7" s="16"/>
      <c r="E7" s="16" t="s">
        <v>515</v>
      </c>
      <c r="F7" s="16"/>
      <c r="G7" s="18">
        <v>2255791</v>
      </c>
      <c r="H7" s="18">
        <v>3016402</v>
      </c>
      <c r="I7" s="18">
        <v>2856128</v>
      </c>
      <c r="J7" s="17">
        <v>6738082</v>
      </c>
      <c r="K7" s="18"/>
      <c r="L7" s="15">
        <v>0</v>
      </c>
      <c r="M7" s="15">
        <v>660980</v>
      </c>
      <c r="N7" s="15">
        <v>0</v>
      </c>
      <c r="O7" s="17">
        <f>SUM(J7:N7)</f>
        <v>7399062</v>
      </c>
      <c r="P7" s="15">
        <f>96415.75+1768.04</f>
        <v>98183.79</v>
      </c>
      <c r="Q7" s="84" t="s">
        <v>322</v>
      </c>
      <c r="R7" s="15">
        <f>21308.23+2043.82</f>
        <v>23352.05</v>
      </c>
      <c r="S7" s="19"/>
      <c r="T7" s="17">
        <v>7473893.7400000002</v>
      </c>
      <c r="U7" s="73">
        <f>T7-I7</f>
        <v>4617765.74</v>
      </c>
      <c r="Y7" s="76">
        <f>U7/I7</f>
        <v>1.6167922936226948</v>
      </c>
      <c r="Z7" s="88" t="s">
        <v>498</v>
      </c>
      <c r="AA7" s="2" t="s">
        <v>64</v>
      </c>
      <c r="AB7" s="2" t="s">
        <v>505</v>
      </c>
      <c r="AC7" s="2" t="s">
        <v>539</v>
      </c>
    </row>
    <row r="8" spans="1:32">
      <c r="A8" s="118">
        <v>112</v>
      </c>
      <c r="B8" s="20"/>
      <c r="C8" s="20"/>
      <c r="D8" s="20"/>
      <c r="E8" s="16" t="s">
        <v>516</v>
      </c>
      <c r="F8" s="16"/>
      <c r="G8" s="15">
        <v>210487.38</v>
      </c>
      <c r="H8" s="15">
        <v>0</v>
      </c>
      <c r="I8" s="15">
        <v>69643</v>
      </c>
      <c r="J8" s="15">
        <v>184905</v>
      </c>
      <c r="K8" s="15"/>
      <c r="L8" s="15"/>
      <c r="M8" s="15"/>
      <c r="N8" s="15"/>
      <c r="O8" s="15">
        <f>SUM(J8:N8)</f>
        <v>184905</v>
      </c>
      <c r="P8" s="15"/>
      <c r="Q8" s="95"/>
      <c r="R8" s="15"/>
      <c r="S8" s="15"/>
      <c r="T8" s="17">
        <v>100</v>
      </c>
      <c r="U8" s="73">
        <f>T8-I8</f>
        <v>-69543</v>
      </c>
      <c r="Y8" s="76">
        <f>U8/I8</f>
        <v>-0.99856410550952712</v>
      </c>
      <c r="AA8" s="2" t="s">
        <v>64</v>
      </c>
      <c r="AB8" s="2" t="s">
        <v>547</v>
      </c>
      <c r="AC8" s="2" t="s">
        <v>539</v>
      </c>
    </row>
    <row r="9" spans="1:32">
      <c r="A9" s="117">
        <v>113</v>
      </c>
      <c r="B9" s="16"/>
      <c r="C9" s="16"/>
      <c r="D9" s="16"/>
      <c r="E9" s="16" t="s">
        <v>517</v>
      </c>
      <c r="F9" s="16"/>
      <c r="G9" s="15">
        <v>909</v>
      </c>
      <c r="H9" s="15">
        <v>909</v>
      </c>
      <c r="I9" s="15">
        <v>909</v>
      </c>
      <c r="J9" s="17">
        <v>909</v>
      </c>
      <c r="K9" s="15"/>
      <c r="L9" s="15"/>
      <c r="M9" s="15"/>
      <c r="N9" s="15"/>
      <c r="O9" s="17">
        <f>SUM(J9:N9)</f>
        <v>909</v>
      </c>
      <c r="P9" s="15"/>
      <c r="Q9" s="95"/>
      <c r="R9" s="15"/>
      <c r="S9" s="15"/>
      <c r="T9" s="17">
        <v>6985452</v>
      </c>
      <c r="U9" s="73">
        <f>T9-I9</f>
        <v>6984543</v>
      </c>
      <c r="AA9" s="2" t="s">
        <v>64</v>
      </c>
      <c r="AB9" s="2" t="s">
        <v>547</v>
      </c>
      <c r="AC9" s="2" t="s">
        <v>539</v>
      </c>
    </row>
    <row r="10" spans="1:32">
      <c r="A10" s="117">
        <v>114</v>
      </c>
      <c r="B10" s="16"/>
      <c r="C10" s="16"/>
      <c r="D10" s="16"/>
      <c r="E10" s="16" t="s">
        <v>518</v>
      </c>
      <c r="F10" s="16"/>
      <c r="G10" s="15">
        <v>5070</v>
      </c>
      <c r="H10" s="15">
        <v>7870</v>
      </c>
      <c r="I10" s="15">
        <v>7870</v>
      </c>
      <c r="J10" s="17">
        <v>7870</v>
      </c>
      <c r="K10" s="15"/>
      <c r="L10" s="15"/>
      <c r="M10" s="15"/>
      <c r="N10" s="15"/>
      <c r="O10" s="17">
        <f>SUM(J10:N10)</f>
        <v>7870</v>
      </c>
      <c r="P10" s="15"/>
      <c r="Q10" s="95"/>
      <c r="R10" s="15"/>
      <c r="S10" s="15"/>
      <c r="T10" s="17">
        <v>14259378</v>
      </c>
      <c r="U10" s="73">
        <f>T10-I10</f>
        <v>14251508</v>
      </c>
      <c r="AA10" s="2" t="s">
        <v>64</v>
      </c>
      <c r="AB10" s="2" t="s">
        <v>505</v>
      </c>
      <c r="AC10" s="2" t="s">
        <v>540</v>
      </c>
    </row>
    <row r="11" spans="1:32">
      <c r="A11" s="117"/>
      <c r="B11" s="16"/>
      <c r="C11" s="16" t="s">
        <v>520</v>
      </c>
      <c r="D11" s="16"/>
      <c r="G11" s="15"/>
      <c r="H11" s="15"/>
      <c r="I11" s="15"/>
      <c r="J11" s="15"/>
      <c r="K11" s="15"/>
      <c r="L11" s="15"/>
      <c r="M11" s="15"/>
      <c r="N11" s="15"/>
      <c r="O11" s="17"/>
      <c r="P11" s="15"/>
      <c r="Q11" s="95"/>
      <c r="R11" s="15"/>
      <c r="S11" s="15"/>
      <c r="T11" s="17"/>
    </row>
    <row r="12" spans="1:32" ht="17.25" customHeight="1">
      <c r="A12" s="117">
        <v>211</v>
      </c>
      <c r="B12" s="16"/>
      <c r="C12" s="16"/>
      <c r="D12" s="16"/>
      <c r="E12" s="16" t="s">
        <v>519</v>
      </c>
      <c r="F12" s="16"/>
      <c r="G12" s="15">
        <v>102343352</v>
      </c>
      <c r="H12" s="15">
        <v>118245617</v>
      </c>
      <c r="I12" s="15">
        <v>147582193</v>
      </c>
      <c r="J12" s="17">
        <v>98596188</v>
      </c>
      <c r="K12" s="15"/>
      <c r="L12" s="15"/>
      <c r="M12" s="15"/>
      <c r="N12" s="15"/>
      <c r="O12" s="17">
        <f t="shared" ref="O12:O17" si="0">SUM(J12:N12)</f>
        <v>98596188</v>
      </c>
      <c r="P12" s="15">
        <v>0</v>
      </c>
      <c r="Q12" s="95"/>
      <c r="R12" s="15">
        <v>0</v>
      </c>
      <c r="S12" s="15"/>
      <c r="T12" s="17">
        <v>1596188</v>
      </c>
      <c r="U12" s="73">
        <f t="shared" ref="U12:U17" si="1">T12-I12</f>
        <v>-145986005</v>
      </c>
      <c r="Y12" s="76">
        <f t="shared" ref="Y12:Y18" si="2">U12/I12</f>
        <v>-0.98918441332552909</v>
      </c>
      <c r="Z12" s="88" t="s">
        <v>24</v>
      </c>
      <c r="AA12" s="2" t="s">
        <v>66</v>
      </c>
      <c r="AB12" s="2" t="s">
        <v>505</v>
      </c>
      <c r="AC12" s="2" t="s">
        <v>541</v>
      </c>
    </row>
    <row r="13" spans="1:32" ht="17.25" customHeight="1">
      <c r="A13" s="117">
        <v>212</v>
      </c>
      <c r="B13" s="16"/>
      <c r="C13" s="16"/>
      <c r="D13" s="16"/>
      <c r="E13" s="16" t="s">
        <v>524</v>
      </c>
      <c r="F13" s="16"/>
      <c r="G13" s="15"/>
      <c r="H13" s="15"/>
      <c r="I13" s="15"/>
      <c r="J13" s="17"/>
      <c r="K13" s="15"/>
      <c r="L13" s="15"/>
      <c r="M13" s="15"/>
      <c r="N13" s="15"/>
      <c r="O13" s="17"/>
      <c r="P13" s="15"/>
      <c r="Q13" s="95"/>
      <c r="R13" s="15"/>
      <c r="S13" s="15"/>
      <c r="T13" s="17">
        <v>526954</v>
      </c>
      <c r="U13" s="109"/>
      <c r="Z13" s="88"/>
      <c r="AB13" s="2" t="s">
        <v>505</v>
      </c>
      <c r="AC13" s="2" t="s">
        <v>541</v>
      </c>
    </row>
    <row r="14" spans="1:32">
      <c r="A14" s="117">
        <v>213</v>
      </c>
      <c r="B14" s="16"/>
      <c r="C14" s="16"/>
      <c r="D14" s="16"/>
      <c r="E14" s="16" t="s">
        <v>521</v>
      </c>
      <c r="F14" s="16"/>
      <c r="G14" s="25">
        <v>0</v>
      </c>
      <c r="H14" s="25">
        <v>387730</v>
      </c>
      <c r="I14" s="25">
        <v>0</v>
      </c>
      <c r="J14" s="17">
        <v>0</v>
      </c>
      <c r="K14" s="15"/>
      <c r="L14" s="15"/>
      <c r="M14" s="15"/>
      <c r="N14" s="15"/>
      <c r="O14" s="17">
        <f t="shared" si="0"/>
        <v>0</v>
      </c>
      <c r="P14" s="19"/>
      <c r="Q14" s="95"/>
      <c r="R14" s="15"/>
      <c r="S14" s="15"/>
      <c r="T14" s="17">
        <v>1005066</v>
      </c>
      <c r="U14" s="73">
        <f t="shared" si="1"/>
        <v>1005066</v>
      </c>
      <c r="Z14" s="89" t="s">
        <v>15</v>
      </c>
      <c r="AB14" s="2" t="s">
        <v>505</v>
      </c>
      <c r="AC14" s="2" t="s">
        <v>541</v>
      </c>
    </row>
    <row r="15" spans="1:32">
      <c r="A15" s="118">
        <v>214</v>
      </c>
      <c r="B15" s="27"/>
      <c r="C15" s="27"/>
      <c r="D15" s="27"/>
      <c r="E15" s="16" t="s">
        <v>120</v>
      </c>
      <c r="F15" s="16"/>
      <c r="G15" s="25">
        <v>-448470.05</v>
      </c>
      <c r="H15" s="25">
        <v>14933</v>
      </c>
      <c r="I15" s="25">
        <v>1908238</v>
      </c>
      <c r="J15" s="17">
        <v>0</v>
      </c>
      <c r="K15" s="15"/>
      <c r="L15" s="15"/>
      <c r="M15" s="15"/>
      <c r="N15" s="15"/>
      <c r="O15" s="17">
        <f t="shared" si="0"/>
        <v>0</v>
      </c>
      <c r="P15" s="15">
        <f>3107109+15018</f>
        <v>3122127</v>
      </c>
      <c r="Q15" s="95" t="s">
        <v>3</v>
      </c>
      <c r="R15" s="15"/>
      <c r="S15" s="15"/>
      <c r="T15" s="17">
        <v>100258</v>
      </c>
      <c r="U15" s="73">
        <f t="shared" si="1"/>
        <v>-1807980</v>
      </c>
      <c r="Y15" s="76">
        <f t="shared" si="2"/>
        <v>-0.9474604320844674</v>
      </c>
      <c r="Z15" s="89" t="s">
        <v>16</v>
      </c>
      <c r="AA15" s="2" t="s">
        <v>65</v>
      </c>
      <c r="AB15" s="2" t="s">
        <v>513</v>
      </c>
      <c r="AC15" s="2" t="s">
        <v>539</v>
      </c>
    </row>
    <row r="16" spans="1:32">
      <c r="A16" s="118">
        <v>215</v>
      </c>
      <c r="B16" s="16"/>
      <c r="C16" s="16"/>
      <c r="D16" s="16"/>
      <c r="E16" s="16" t="s">
        <v>522</v>
      </c>
      <c r="F16" s="16"/>
      <c r="G16" s="25">
        <v>-74821127.709999993</v>
      </c>
      <c r="H16" s="28">
        <v>-87510601</v>
      </c>
      <c r="I16" s="28">
        <v>-74373605</v>
      </c>
      <c r="J16" s="17">
        <v>-32456559</v>
      </c>
      <c r="K16" s="15"/>
      <c r="L16" s="15"/>
      <c r="M16" s="15"/>
      <c r="N16" s="15"/>
      <c r="O16" s="17">
        <f t="shared" si="0"/>
        <v>-32456559</v>
      </c>
      <c r="P16" s="15">
        <f>489992</f>
        <v>489992</v>
      </c>
      <c r="Q16" s="95" t="s">
        <v>59</v>
      </c>
      <c r="R16" s="15"/>
      <c r="S16" s="15"/>
      <c r="T16" s="46">
        <v>-196657</v>
      </c>
      <c r="U16" s="73">
        <f t="shared" si="1"/>
        <v>74176948</v>
      </c>
      <c r="Y16" s="76">
        <f t="shared" si="2"/>
        <v>-0.99735582267391776</v>
      </c>
      <c r="AA16" s="2" t="s">
        <v>66</v>
      </c>
      <c r="AB16" s="2" t="s">
        <v>504</v>
      </c>
      <c r="AC16" s="2" t="s">
        <v>541</v>
      </c>
    </row>
    <row r="17" spans="1:29">
      <c r="A17" s="118">
        <v>216</v>
      </c>
      <c r="B17" s="16"/>
      <c r="C17" s="16"/>
      <c r="D17" s="16"/>
      <c r="E17" s="16" t="s">
        <v>121</v>
      </c>
      <c r="F17" s="16"/>
      <c r="G17" s="15">
        <v>0</v>
      </c>
      <c r="H17" s="31"/>
      <c r="I17" s="31">
        <v>-41610678</v>
      </c>
      <c r="J17" s="15">
        <v>-40018958</v>
      </c>
      <c r="K17" s="15"/>
      <c r="L17" s="15"/>
      <c r="M17" s="15"/>
      <c r="N17" s="15"/>
      <c r="O17" s="15">
        <f t="shared" si="0"/>
        <v>-40018958</v>
      </c>
      <c r="P17" s="15"/>
      <c r="Q17" s="95"/>
      <c r="R17" s="15">
        <v>0</v>
      </c>
      <c r="S17" s="15"/>
      <c r="T17" s="46">
        <v>40018</v>
      </c>
      <c r="U17" s="73">
        <f t="shared" si="1"/>
        <v>41650696</v>
      </c>
      <c r="Y17" s="76">
        <f t="shared" si="2"/>
        <v>-1.0009617242958646</v>
      </c>
      <c r="AA17" s="2" t="s">
        <v>66</v>
      </c>
      <c r="AB17" s="2" t="s">
        <v>547</v>
      </c>
      <c r="AC17" s="2" t="s">
        <v>542</v>
      </c>
    </row>
    <row r="18" spans="1:29">
      <c r="A18" s="117">
        <v>217</v>
      </c>
      <c r="B18" s="16"/>
      <c r="C18" s="16" t="s">
        <v>523</v>
      </c>
      <c r="D18" s="16"/>
      <c r="G18" s="34">
        <v>4855726.41</v>
      </c>
      <c r="H18" s="34">
        <v>5605163</v>
      </c>
      <c r="I18" s="34">
        <v>96806</v>
      </c>
      <c r="J18" s="34">
        <v>0</v>
      </c>
      <c r="K18" s="34"/>
      <c r="L18" s="34"/>
      <c r="M18" s="34"/>
      <c r="N18" s="34"/>
      <c r="O18" s="34">
        <f>SUM(J18:N18)</f>
        <v>0</v>
      </c>
      <c r="P18" s="34"/>
      <c r="Q18" s="97"/>
      <c r="R18" s="34">
        <v>0</v>
      </c>
      <c r="S18" s="34"/>
      <c r="T18" s="45">
        <v>550000</v>
      </c>
      <c r="U18" s="73">
        <f>T18-I18</f>
        <v>453194</v>
      </c>
      <c r="Y18" s="76">
        <f t="shared" si="2"/>
        <v>4.6814660248331714</v>
      </c>
      <c r="Z18" s="89" t="s">
        <v>17</v>
      </c>
      <c r="AB18" s="2" t="s">
        <v>505</v>
      </c>
      <c r="AC18" s="2" t="s">
        <v>541</v>
      </c>
    </row>
    <row r="19" spans="1:29">
      <c r="A19" s="118">
        <v>311</v>
      </c>
      <c r="B19" s="16"/>
      <c r="C19" s="16" t="s">
        <v>151</v>
      </c>
      <c r="D19" s="16"/>
      <c r="G19" s="35">
        <v>572493</v>
      </c>
      <c r="H19" s="35">
        <v>893949</v>
      </c>
      <c r="I19" s="35">
        <v>933476.55</v>
      </c>
      <c r="J19" s="35">
        <v>954467</v>
      </c>
      <c r="K19" s="36"/>
      <c r="L19" s="35"/>
      <c r="M19" s="35"/>
      <c r="N19" s="35"/>
      <c r="O19" s="35">
        <f>SUM(J19:N19)</f>
        <v>954467</v>
      </c>
      <c r="P19" s="35">
        <v>147508.87</v>
      </c>
      <c r="Q19" s="95" t="s">
        <v>94</v>
      </c>
      <c r="R19" s="35">
        <v>0</v>
      </c>
      <c r="S19" s="35"/>
      <c r="T19" s="45">
        <v>235968</v>
      </c>
      <c r="U19" s="73">
        <f>T19-I19</f>
        <v>-697508.55</v>
      </c>
      <c r="Y19" s="76">
        <f>U19/I19</f>
        <v>-0.74721593166962796</v>
      </c>
      <c r="AA19" s="2" t="s">
        <v>65</v>
      </c>
      <c r="AB19" s="2" t="s">
        <v>547</v>
      </c>
      <c r="AC19" s="2" t="s">
        <v>544</v>
      </c>
    </row>
    <row r="20" spans="1:29">
      <c r="A20" s="118"/>
      <c r="B20" s="16"/>
      <c r="C20" s="16" t="s">
        <v>530</v>
      </c>
      <c r="D20" s="1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95"/>
      <c r="R20" s="24"/>
      <c r="S20" s="24"/>
      <c r="T20" s="17"/>
      <c r="U20" s="109"/>
    </row>
    <row r="21" spans="1:29">
      <c r="A21" s="117">
        <v>411</v>
      </c>
      <c r="B21" s="16"/>
      <c r="E21" s="16" t="s">
        <v>152</v>
      </c>
      <c r="G21" s="24">
        <v>840791</v>
      </c>
      <c r="H21" s="24">
        <v>840791</v>
      </c>
      <c r="I21" s="24">
        <v>840791</v>
      </c>
      <c r="J21" s="24">
        <v>840791</v>
      </c>
      <c r="K21" s="24"/>
      <c r="L21" s="24"/>
      <c r="M21" s="24"/>
      <c r="N21" s="24"/>
      <c r="O21" s="24">
        <f t="shared" ref="O21:O25" si="3">SUM(J21:N21)</f>
        <v>840791</v>
      </c>
      <c r="P21" s="24"/>
      <c r="Q21" s="95"/>
      <c r="R21" s="24"/>
      <c r="S21" s="24"/>
      <c r="T21" s="17">
        <v>840791</v>
      </c>
      <c r="AA21" s="2" t="s">
        <v>501</v>
      </c>
      <c r="AB21" s="2" t="s">
        <v>504</v>
      </c>
      <c r="AC21" s="2" t="s">
        <v>543</v>
      </c>
    </row>
    <row r="22" spans="1:29">
      <c r="A22" s="117">
        <v>412</v>
      </c>
      <c r="B22" s="16"/>
      <c r="E22" s="16" t="s">
        <v>527</v>
      </c>
      <c r="G22" s="35">
        <f>754301+306071-55-58415</f>
        <v>1001902</v>
      </c>
      <c r="H22" s="35">
        <f>1001902.33+54613-112609</f>
        <v>943906.33000000007</v>
      </c>
      <c r="I22" s="35">
        <v>138195</v>
      </c>
      <c r="J22" s="35">
        <v>0</v>
      </c>
      <c r="K22" s="35"/>
      <c r="L22" s="35"/>
      <c r="M22" s="35"/>
      <c r="N22" s="35"/>
      <c r="O22" s="35">
        <f t="shared" si="3"/>
        <v>0</v>
      </c>
      <c r="P22" s="35">
        <f>2209329</f>
        <v>2209329</v>
      </c>
      <c r="Q22" s="95" t="s">
        <v>76</v>
      </c>
      <c r="R22" s="35">
        <v>0</v>
      </c>
      <c r="S22" s="35"/>
      <c r="T22" s="17">
        <v>2209329</v>
      </c>
      <c r="V22" s="1" t="s">
        <v>495</v>
      </c>
      <c r="AA22" s="2" t="s">
        <v>501</v>
      </c>
      <c r="AB22" s="2" t="s">
        <v>505</v>
      </c>
      <c r="AC22" s="2" t="s">
        <v>543</v>
      </c>
    </row>
    <row r="23" spans="1:29">
      <c r="A23" s="117">
        <v>413</v>
      </c>
      <c r="B23" s="16"/>
      <c r="E23" s="16" t="s">
        <v>528</v>
      </c>
      <c r="G23" s="35">
        <f>3678247+342870</f>
        <v>4021117</v>
      </c>
      <c r="H23" s="35">
        <f>4021117+112609</f>
        <v>4133726</v>
      </c>
      <c r="I23" s="35">
        <v>4332607</v>
      </c>
      <c r="J23" s="35">
        <v>4332607</v>
      </c>
      <c r="K23" s="35"/>
      <c r="L23" s="35"/>
      <c r="M23" s="35"/>
      <c r="N23" s="35"/>
      <c r="O23" s="35">
        <f t="shared" si="3"/>
        <v>4332607</v>
      </c>
      <c r="P23" s="35">
        <v>0</v>
      </c>
      <c r="Q23" s="95"/>
      <c r="R23" s="35"/>
      <c r="S23" s="35"/>
      <c r="T23" s="17">
        <v>4332607</v>
      </c>
      <c r="V23" s="1" t="s">
        <v>494</v>
      </c>
      <c r="AA23" s="2" t="s">
        <v>501</v>
      </c>
      <c r="AB23" s="2" t="s">
        <v>504</v>
      </c>
      <c r="AC23" s="2" t="s">
        <v>543</v>
      </c>
    </row>
    <row r="24" spans="1:29">
      <c r="A24" s="117">
        <v>414</v>
      </c>
      <c r="B24" s="16"/>
      <c r="E24" s="16" t="s">
        <v>153</v>
      </c>
      <c r="G24" s="35">
        <f>10664376+530642-459948</f>
        <v>10735070</v>
      </c>
      <c r="H24" s="35">
        <f>10471282+568456</f>
        <v>11039738</v>
      </c>
      <c r="I24" s="35">
        <v>11142907</v>
      </c>
      <c r="J24" s="35">
        <v>10623827</v>
      </c>
      <c r="K24" s="35"/>
      <c r="L24" s="35"/>
      <c r="M24" s="35"/>
      <c r="N24" s="35"/>
      <c r="O24" s="35">
        <f t="shared" si="3"/>
        <v>10623827</v>
      </c>
      <c r="P24" s="35">
        <f>844407+78961.04</f>
        <v>923368.04</v>
      </c>
      <c r="Q24" s="95" t="s">
        <v>324</v>
      </c>
      <c r="R24" s="35">
        <v>0</v>
      </c>
      <c r="S24" s="35"/>
      <c r="T24" s="17">
        <v>1154719</v>
      </c>
      <c r="V24" s="1">
        <v>2007</v>
      </c>
      <c r="W24" s="1">
        <v>2008</v>
      </c>
      <c r="X24" s="1" t="s">
        <v>496</v>
      </c>
      <c r="Y24" s="76">
        <f>U24/H24</f>
        <v>0</v>
      </c>
      <c r="AA24" s="2" t="s">
        <v>501</v>
      </c>
      <c r="AB24" s="2" t="s">
        <v>505</v>
      </c>
      <c r="AC24" s="2" t="s">
        <v>543</v>
      </c>
    </row>
    <row r="25" spans="1:29">
      <c r="A25" s="117">
        <v>415</v>
      </c>
      <c r="B25" s="16"/>
      <c r="E25" s="16" t="s">
        <v>529</v>
      </c>
      <c r="G25" s="37">
        <v>2349157.0099999998</v>
      </c>
      <c r="H25" s="37">
        <f>2406286+2786212</f>
        <v>5192498</v>
      </c>
      <c r="I25" s="37">
        <v>6265719</v>
      </c>
      <c r="J25" s="35">
        <v>7957585</v>
      </c>
      <c r="K25" s="35"/>
      <c r="L25" s="35"/>
      <c r="M25" s="35"/>
      <c r="N25" s="35"/>
      <c r="O25" s="35">
        <f t="shared" si="3"/>
        <v>7957585</v>
      </c>
      <c r="P25" s="35">
        <f>332467</f>
        <v>332467</v>
      </c>
      <c r="Q25" s="95" t="s">
        <v>77</v>
      </c>
      <c r="R25" s="35">
        <f>2209329</f>
        <v>2209329</v>
      </c>
      <c r="S25" s="35"/>
      <c r="T25" s="17">
        <v>608072</v>
      </c>
      <c r="V25" s="22">
        <f>SUM(H21:H26)</f>
        <v>14707779.329999998</v>
      </c>
      <c r="W25" s="22">
        <f>SUM(T21:T26)</f>
        <v>5562864</v>
      </c>
      <c r="X25" s="22">
        <f>V25-W25</f>
        <v>9144915.3299999982</v>
      </c>
      <c r="Y25" s="76">
        <f>U25/H25</f>
        <v>0</v>
      </c>
      <c r="AA25" s="2" t="s">
        <v>501</v>
      </c>
      <c r="AB25" s="2" t="s">
        <v>504</v>
      </c>
      <c r="AC25" s="2" t="s">
        <v>543</v>
      </c>
    </row>
    <row r="26" spans="1:29">
      <c r="A26" s="117">
        <v>420</v>
      </c>
      <c r="B26" s="16"/>
      <c r="E26" s="16" t="s">
        <v>454</v>
      </c>
      <c r="G26" s="38">
        <v>-5787325</v>
      </c>
      <c r="H26" s="38">
        <v>-7442880</v>
      </c>
      <c r="I26" s="38"/>
      <c r="J26" s="39"/>
      <c r="K26" s="39"/>
      <c r="L26" s="39"/>
      <c r="M26" s="39"/>
      <c r="N26" s="39"/>
      <c r="O26" s="39"/>
      <c r="P26" s="39"/>
      <c r="Q26" s="95"/>
      <c r="R26" s="39"/>
      <c r="S26" s="39"/>
      <c r="T26" s="46">
        <v>-3582654</v>
      </c>
      <c r="AA26" s="2" t="s">
        <v>501</v>
      </c>
      <c r="AB26" s="2" t="s">
        <v>504</v>
      </c>
      <c r="AC26" s="2" t="s">
        <v>543</v>
      </c>
    </row>
    <row r="27" spans="1:29">
      <c r="A27" s="117"/>
      <c r="B27" s="16"/>
      <c r="C27" s="16"/>
      <c r="D27" s="16"/>
      <c r="E27" s="1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5"/>
      <c r="R27" s="17"/>
      <c r="S27" s="17"/>
      <c r="T27" s="17"/>
    </row>
    <row r="28" spans="1:29">
      <c r="A28" s="117"/>
      <c r="B28" s="14" t="s">
        <v>95</v>
      </c>
      <c r="C28" s="16"/>
      <c r="D28" s="16"/>
      <c r="G28" s="17"/>
      <c r="H28" s="17"/>
      <c r="I28" s="17"/>
      <c r="J28" s="17"/>
      <c r="K28" s="17"/>
      <c r="L28" s="17" t="s">
        <v>93</v>
      </c>
      <c r="M28" s="17" t="s">
        <v>93</v>
      </c>
      <c r="N28" s="17" t="s">
        <v>93</v>
      </c>
      <c r="O28" s="17"/>
      <c r="P28" s="17"/>
      <c r="Q28" s="95"/>
      <c r="R28" s="17" t="s">
        <v>93</v>
      </c>
      <c r="S28" s="17"/>
      <c r="T28" s="17"/>
    </row>
    <row r="29" spans="1:29">
      <c r="A29" s="117">
        <v>611</v>
      </c>
      <c r="B29" s="16"/>
      <c r="C29" s="16" t="s">
        <v>531</v>
      </c>
      <c r="D29" s="16"/>
      <c r="F29" s="16"/>
      <c r="G29" s="15">
        <v>4243569.25</v>
      </c>
      <c r="H29" s="15">
        <v>6440925</v>
      </c>
      <c r="I29" s="15">
        <v>8076640</v>
      </c>
      <c r="J29" s="17">
        <v>4422435</v>
      </c>
      <c r="K29" s="15"/>
      <c r="L29" s="15"/>
      <c r="M29" s="15"/>
      <c r="N29" s="15"/>
      <c r="O29" s="17">
        <f t="shared" ref="O29:O32" si="4">SUM(J29:N29)</f>
        <v>4422435</v>
      </c>
      <c r="P29" s="15"/>
      <c r="Q29" s="95"/>
      <c r="R29" s="15"/>
      <c r="S29" s="15"/>
      <c r="T29" s="17">
        <v>1422435</v>
      </c>
      <c r="U29" s="73">
        <f t="shared" ref="U29:U32" si="5">T29-I29</f>
        <v>-6654205</v>
      </c>
      <c r="Y29" s="76">
        <f t="shared" ref="Y29:Y32" si="6">U29/I29</f>
        <v>-0.82388282751243092</v>
      </c>
      <c r="Z29" s="89" t="s">
        <v>500</v>
      </c>
      <c r="AA29" s="2" t="s">
        <v>64</v>
      </c>
      <c r="AB29" s="2" t="s">
        <v>505</v>
      </c>
      <c r="AC29" s="2" t="s">
        <v>545</v>
      </c>
    </row>
    <row r="30" spans="1:29">
      <c r="A30" s="117">
        <v>612</v>
      </c>
      <c r="B30" s="16"/>
      <c r="C30" s="16" t="s">
        <v>122</v>
      </c>
      <c r="D30" s="16"/>
      <c r="F30" s="16"/>
      <c r="G30" s="15">
        <v>0</v>
      </c>
      <c r="H30" s="15">
        <v>0</v>
      </c>
      <c r="I30" s="15">
        <v>78245</v>
      </c>
      <c r="J30" s="17">
        <v>18641790</v>
      </c>
      <c r="K30" s="15"/>
      <c r="L30" s="15"/>
      <c r="M30" s="15"/>
      <c r="N30" s="15"/>
      <c r="O30" s="17">
        <f t="shared" si="4"/>
        <v>18641790</v>
      </c>
      <c r="P30" s="43">
        <f>8712270+851775+9000000</f>
        <v>18564045</v>
      </c>
      <c r="Q30" s="97" t="s">
        <v>378</v>
      </c>
      <c r="R30" s="31">
        <f>157369.91+14229.82</f>
        <v>171599.73</v>
      </c>
      <c r="S30" s="31"/>
      <c r="T30" s="17">
        <v>249344.73</v>
      </c>
      <c r="U30" s="73">
        <f t="shared" si="5"/>
        <v>171099.73</v>
      </c>
      <c r="Y30" s="76">
        <f t="shared" si="6"/>
        <v>2.1867177455428464</v>
      </c>
      <c r="AA30" s="2" t="s">
        <v>64</v>
      </c>
      <c r="AB30" s="2" t="s">
        <v>505</v>
      </c>
      <c r="AC30" s="2" t="s">
        <v>542</v>
      </c>
    </row>
    <row r="31" spans="1:29">
      <c r="A31" s="118">
        <v>613</v>
      </c>
      <c r="B31" s="16"/>
      <c r="C31" s="16" t="s">
        <v>451</v>
      </c>
      <c r="D31" s="16"/>
      <c r="G31" s="35">
        <v>4482371.4000000004</v>
      </c>
      <c r="H31" s="35">
        <v>5295949</v>
      </c>
      <c r="I31" s="35">
        <v>6067986</v>
      </c>
      <c r="J31" s="35">
        <v>6894224</v>
      </c>
      <c r="K31" s="35"/>
      <c r="L31" s="35"/>
      <c r="M31" s="35"/>
      <c r="N31" s="35"/>
      <c r="O31" s="35">
        <f t="shared" si="4"/>
        <v>6894224</v>
      </c>
      <c r="P31" s="35"/>
      <c r="Q31" s="95"/>
      <c r="R31" s="35"/>
      <c r="S31" s="35"/>
      <c r="T31" s="17">
        <v>894224</v>
      </c>
      <c r="U31" s="73">
        <f t="shared" si="5"/>
        <v>-5173762</v>
      </c>
      <c r="Y31" s="76">
        <f t="shared" si="6"/>
        <v>-0.8526324879457533</v>
      </c>
      <c r="AA31" s="2" t="s">
        <v>64</v>
      </c>
      <c r="AB31" s="2" t="s">
        <v>505</v>
      </c>
      <c r="AC31" s="2" t="s">
        <v>546</v>
      </c>
    </row>
    <row r="32" spans="1:29">
      <c r="A32" s="118">
        <v>614</v>
      </c>
      <c r="B32" s="16"/>
      <c r="C32" s="1" t="s">
        <v>123</v>
      </c>
      <c r="D32" s="16"/>
      <c r="G32" s="6">
        <v>4041603</v>
      </c>
      <c r="H32" s="6">
        <v>4001507</v>
      </c>
      <c r="I32" s="6">
        <v>5000000</v>
      </c>
      <c r="J32" s="21">
        <v>2939</v>
      </c>
      <c r="K32" s="6"/>
      <c r="L32" s="6"/>
      <c r="M32" s="6"/>
      <c r="N32" s="6"/>
      <c r="O32" s="21">
        <f t="shared" si="4"/>
        <v>2939</v>
      </c>
      <c r="P32" s="15">
        <v>0</v>
      </c>
      <c r="Q32" s="95" t="s">
        <v>377</v>
      </c>
      <c r="R32" s="6">
        <f>9000000</f>
        <v>9000000</v>
      </c>
      <c r="S32" s="6"/>
      <c r="T32" s="17">
        <v>550000</v>
      </c>
      <c r="U32" s="73">
        <f t="shared" si="5"/>
        <v>-4450000</v>
      </c>
      <c r="Y32" s="76">
        <f t="shared" si="6"/>
        <v>-0.89</v>
      </c>
      <c r="AA32" s="2" t="s">
        <v>64</v>
      </c>
      <c r="AB32" s="2" t="s">
        <v>505</v>
      </c>
      <c r="AC32" s="2" t="s">
        <v>541</v>
      </c>
    </row>
    <row r="33" spans="1:32">
      <c r="A33" s="120">
        <v>615</v>
      </c>
      <c r="B33" s="16"/>
      <c r="C33" s="16" t="s">
        <v>450</v>
      </c>
      <c r="D33" s="16"/>
      <c r="G33" s="15"/>
      <c r="H33" s="15"/>
      <c r="I33" s="15"/>
      <c r="J33" s="15"/>
      <c r="K33" s="15"/>
      <c r="L33" s="15"/>
      <c r="M33" s="15"/>
      <c r="N33" s="15"/>
      <c r="O33" s="17"/>
      <c r="P33" s="15"/>
      <c r="Q33" s="95"/>
      <c r="R33" s="15"/>
      <c r="S33" s="15"/>
      <c r="T33" s="17">
        <v>335788</v>
      </c>
      <c r="AB33" s="2" t="s">
        <v>505</v>
      </c>
      <c r="AC33" s="2" t="s">
        <v>545</v>
      </c>
    </row>
    <row r="34" spans="1:32">
      <c r="A34" s="118">
        <v>711</v>
      </c>
      <c r="B34" s="16"/>
      <c r="C34" s="16" t="s">
        <v>532</v>
      </c>
      <c r="D34" s="16"/>
      <c r="G34" s="35">
        <v>6057433</v>
      </c>
      <c r="H34" s="35">
        <v>6321494</v>
      </c>
      <c r="I34" s="35">
        <v>6668830</v>
      </c>
      <c r="J34" s="35">
        <v>6668830</v>
      </c>
      <c r="K34" s="35"/>
      <c r="L34" s="35"/>
      <c r="M34" s="35"/>
      <c r="N34" s="35"/>
      <c r="O34" s="35">
        <f>SUM(J34:N34)</f>
        <v>6668830</v>
      </c>
      <c r="P34" s="35"/>
      <c r="Q34" s="95" t="s">
        <v>67</v>
      </c>
      <c r="R34" s="35">
        <f>676077</f>
        <v>676077</v>
      </c>
      <c r="S34" s="35"/>
      <c r="T34" s="17">
        <v>3344907</v>
      </c>
      <c r="U34" s="73">
        <f>T34-I34</f>
        <v>-3323923</v>
      </c>
      <c r="V34" s="22" t="e">
        <f>#REF!+T31+T32+#REF!+#REF!+T34</f>
        <v>#REF!</v>
      </c>
      <c r="Z34" s="89" t="s">
        <v>19</v>
      </c>
      <c r="AA34" s="2" t="s">
        <v>64</v>
      </c>
      <c r="AB34" s="2" t="s">
        <v>504</v>
      </c>
      <c r="AC34" s="2" t="s">
        <v>546</v>
      </c>
    </row>
    <row r="35" spans="1:32">
      <c r="A35" s="119">
        <v>712</v>
      </c>
      <c r="C35" s="16" t="s">
        <v>96</v>
      </c>
      <c r="D35" s="16"/>
      <c r="G35" s="15"/>
      <c r="H35" s="15"/>
      <c r="I35" s="15"/>
      <c r="J35" s="15"/>
      <c r="K35" s="15"/>
      <c r="L35" s="15"/>
      <c r="M35" s="15"/>
      <c r="N35" s="15"/>
      <c r="O35" s="17"/>
      <c r="P35" s="15"/>
      <c r="Q35" s="95"/>
      <c r="R35" s="15"/>
      <c r="S35" s="15"/>
      <c r="T35" s="1">
        <v>75567</v>
      </c>
      <c r="AB35" s="2" t="s">
        <v>547</v>
      </c>
      <c r="AC35" s="2" t="s">
        <v>542</v>
      </c>
    </row>
    <row r="36" spans="1:32">
      <c r="A36" s="118">
        <v>713</v>
      </c>
      <c r="B36" s="4"/>
      <c r="C36" s="1" t="s">
        <v>533</v>
      </c>
      <c r="G36" s="24">
        <v>5000</v>
      </c>
      <c r="H36" s="24">
        <v>0</v>
      </c>
      <c r="I36" s="24">
        <v>0</v>
      </c>
      <c r="J36" s="24"/>
      <c r="K36" s="24"/>
      <c r="L36" s="24"/>
      <c r="M36" s="24"/>
      <c r="N36" s="24"/>
      <c r="O36" s="24">
        <f>SUM(J36:N36)</f>
        <v>0</v>
      </c>
      <c r="P36" s="24"/>
      <c r="Q36" s="95" t="s">
        <v>58</v>
      </c>
      <c r="R36" s="24">
        <f>507915.57</f>
        <v>507915.57</v>
      </c>
      <c r="S36" s="24"/>
      <c r="T36" s="17">
        <v>4259637</v>
      </c>
      <c r="AA36" s="2" t="s">
        <v>64</v>
      </c>
      <c r="AB36" s="2" t="s">
        <v>547</v>
      </c>
      <c r="AC36" s="2" t="s">
        <v>542</v>
      </c>
    </row>
    <row r="37" spans="1:32">
      <c r="A37" s="118">
        <v>714</v>
      </c>
      <c r="B37" s="16"/>
      <c r="C37" s="16" t="s">
        <v>525</v>
      </c>
      <c r="D37" s="1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95"/>
      <c r="R37" s="35"/>
      <c r="S37" s="35"/>
      <c r="T37" s="17">
        <v>14955867</v>
      </c>
      <c r="AB37" s="2" t="s">
        <v>504</v>
      </c>
      <c r="AC37" s="2" t="s">
        <v>546</v>
      </c>
    </row>
    <row r="38" spans="1:32">
      <c r="A38" s="118">
        <v>715</v>
      </c>
      <c r="B38" s="16"/>
      <c r="C38" s="16" t="s">
        <v>526</v>
      </c>
      <c r="D38" s="1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95"/>
      <c r="R38" s="35"/>
      <c r="S38" s="35"/>
      <c r="T38" s="17">
        <v>2368745</v>
      </c>
      <c r="U38" s="109"/>
      <c r="AB38" s="2" t="s">
        <v>504</v>
      </c>
      <c r="AC38" s="2" t="s">
        <v>546</v>
      </c>
    </row>
    <row r="39" spans="1:32">
      <c r="A39" s="118"/>
      <c r="B39" s="16"/>
      <c r="C39" s="16"/>
      <c r="D39" s="1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95"/>
      <c r="R39" s="35"/>
      <c r="S39" s="35"/>
      <c r="T39" s="21"/>
      <c r="U39" s="109"/>
    </row>
    <row r="40" spans="1:32">
      <c r="A40" s="118"/>
      <c r="B40" s="14" t="s">
        <v>534</v>
      </c>
      <c r="C40" s="16"/>
      <c r="D40" s="16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95"/>
      <c r="R40" s="35"/>
      <c r="S40" s="35"/>
      <c r="T40" s="21"/>
      <c r="U40" s="109"/>
    </row>
    <row r="41" spans="1:32">
      <c r="A41" s="118">
        <v>811</v>
      </c>
      <c r="C41" s="16" t="s">
        <v>534</v>
      </c>
      <c r="D41" s="1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95"/>
      <c r="R41" s="35"/>
      <c r="S41" s="35"/>
      <c r="T41" s="133">
        <v>50986555</v>
      </c>
      <c r="U41" s="109"/>
      <c r="AB41" s="2" t="s">
        <v>504</v>
      </c>
      <c r="AC41" s="2" t="s">
        <v>546</v>
      </c>
    </row>
    <row r="42" spans="1:32" hidden="1">
      <c r="A42" s="118" t="s">
        <v>124</v>
      </c>
      <c r="B42" s="20"/>
      <c r="C42" s="20"/>
      <c r="D42" s="16" t="s">
        <v>125</v>
      </c>
      <c r="G42" s="46">
        <v>1877824.38</v>
      </c>
      <c r="H42" s="46">
        <v>-972972</v>
      </c>
      <c r="I42" s="46">
        <v>0</v>
      </c>
      <c r="J42" s="17"/>
      <c r="K42" s="17"/>
      <c r="L42" s="17"/>
      <c r="M42" s="17"/>
      <c r="N42" s="17"/>
      <c r="O42" s="17">
        <f>SUM(J42:N42)</f>
        <v>0</v>
      </c>
      <c r="P42" s="29"/>
      <c r="Q42" s="95"/>
      <c r="R42" s="17"/>
      <c r="S42" s="17"/>
      <c r="T42" s="17">
        <v>0</v>
      </c>
      <c r="U42" s="73">
        <f>T42-I42</f>
        <v>0</v>
      </c>
      <c r="Z42" s="89" t="s">
        <v>499</v>
      </c>
    </row>
    <row r="43" spans="1:32" hidden="1">
      <c r="A43" s="118" t="s">
        <v>126</v>
      </c>
      <c r="B43" s="20"/>
      <c r="C43" s="20"/>
      <c r="D43" s="16" t="s">
        <v>127</v>
      </c>
      <c r="G43" s="46">
        <v>-9448509.7200000007</v>
      </c>
      <c r="H43" s="46">
        <v>-9448510</v>
      </c>
      <c r="I43" s="46">
        <v>-9448510</v>
      </c>
      <c r="J43" s="17">
        <v>-9448510</v>
      </c>
      <c r="K43" s="17"/>
      <c r="L43" s="17"/>
      <c r="M43" s="17"/>
      <c r="N43" s="17"/>
      <c r="O43" s="17">
        <f>SUM(J43:N43)</f>
        <v>-9448510</v>
      </c>
      <c r="P43" s="15"/>
      <c r="Q43" s="95" t="s">
        <v>75</v>
      </c>
      <c r="R43" s="17">
        <v>9687</v>
      </c>
      <c r="S43" s="17"/>
      <c r="T43" s="17">
        <v>-9438823</v>
      </c>
      <c r="U43" s="73">
        <f>T43-I43</f>
        <v>9687</v>
      </c>
      <c r="Y43" s="76">
        <f t="shared" ref="Y43:Y101" si="7">U43/I43</f>
        <v>-1.0252410168375755E-3</v>
      </c>
      <c r="Z43" s="89" t="s">
        <v>499</v>
      </c>
    </row>
    <row r="44" spans="1:32" hidden="1">
      <c r="A44" s="118" t="s">
        <v>81</v>
      </c>
      <c r="B44" s="20"/>
      <c r="C44" s="20"/>
      <c r="D44" s="16" t="s">
        <v>128</v>
      </c>
      <c r="G44" s="46">
        <f>-5228453-1105310</f>
        <v>-6333763</v>
      </c>
      <c r="H44" s="46">
        <v>-5035029</v>
      </c>
      <c r="I44" s="46">
        <v>5972278</v>
      </c>
      <c r="J44" s="17">
        <f>32915740-9687</f>
        <v>32906053</v>
      </c>
      <c r="K44" s="17"/>
      <c r="L44" s="17">
        <v>0</v>
      </c>
      <c r="M44" s="17"/>
      <c r="N44" s="17"/>
      <c r="O44" s="17">
        <f>SUM(J44:N44)</f>
        <v>32906053</v>
      </c>
      <c r="P44" s="15"/>
      <c r="Q44" s="95"/>
      <c r="R44" s="17"/>
      <c r="S44" s="17"/>
      <c r="T44" s="17">
        <v>32906053</v>
      </c>
      <c r="U44" s="73">
        <f>T44-I44</f>
        <v>26933775</v>
      </c>
      <c r="Y44" s="76">
        <f t="shared" si="7"/>
        <v>4.5097992759211811</v>
      </c>
      <c r="Z44" s="89" t="s">
        <v>499</v>
      </c>
    </row>
    <row r="45" spans="1:32" hidden="1">
      <c r="A45" s="118" t="s">
        <v>28</v>
      </c>
      <c r="B45" s="20"/>
      <c r="C45" s="20"/>
      <c r="D45" s="16" t="s">
        <v>486</v>
      </c>
      <c r="G45" s="46"/>
      <c r="H45" s="46"/>
      <c r="I45" s="46">
        <v>756755</v>
      </c>
      <c r="J45" s="17">
        <v>0</v>
      </c>
      <c r="K45" s="17"/>
      <c r="L45" s="17">
        <v>100203</v>
      </c>
      <c r="M45" s="17">
        <v>686943</v>
      </c>
      <c r="N45" s="17">
        <v>1838</v>
      </c>
      <c r="O45" s="17">
        <f>SUM(J45:N45)</f>
        <v>788984</v>
      </c>
      <c r="P45" s="15">
        <f>4082+27981+165</f>
        <v>32228</v>
      </c>
      <c r="Q45" s="95" t="s">
        <v>72</v>
      </c>
      <c r="R45" s="17">
        <f>16683.05</f>
        <v>16683.05</v>
      </c>
      <c r="S45" s="17"/>
      <c r="T45" s="17">
        <v>773439.05</v>
      </c>
      <c r="U45" s="73">
        <f>T45-I45</f>
        <v>16684.050000000047</v>
      </c>
      <c r="Y45" s="76">
        <f t="shared" si="7"/>
        <v>2.2046831537287558E-2</v>
      </c>
      <c r="Z45" s="89" t="s">
        <v>499</v>
      </c>
    </row>
    <row r="46" spans="1:32" hidden="1">
      <c r="A46" s="121"/>
      <c r="B46" s="20"/>
      <c r="C46" s="20"/>
      <c r="D46" s="16" t="s">
        <v>156</v>
      </c>
      <c r="G46" s="47"/>
      <c r="H46" s="46">
        <v>11291486</v>
      </c>
      <c r="I46" s="46">
        <v>26216252.550000012</v>
      </c>
      <c r="J46" s="17">
        <f>J426</f>
        <v>14747407</v>
      </c>
      <c r="K46" s="17"/>
      <c r="L46" s="17">
        <f>L426</f>
        <v>-99657</v>
      </c>
      <c r="M46" s="17">
        <f>M426</f>
        <v>-22176</v>
      </c>
      <c r="N46" s="17">
        <f>N426</f>
        <v>-1828</v>
      </c>
      <c r="O46" s="17">
        <f>O426</f>
        <v>14623746</v>
      </c>
      <c r="P46" s="17">
        <f>-P426</f>
        <v>0</v>
      </c>
      <c r="Q46" s="95"/>
      <c r="R46" s="17">
        <f>R426</f>
        <v>-4355578.3299999982</v>
      </c>
      <c r="S46" s="17"/>
      <c r="T46" s="17">
        <v>17839193.329999954</v>
      </c>
      <c r="U46" s="109">
        <f>T46-I46</f>
        <v>-8377059.2200000584</v>
      </c>
      <c r="Y46" s="76">
        <f t="shared" si="7"/>
        <v>-0.31953686759857119</v>
      </c>
      <c r="Z46" s="89" t="s">
        <v>499</v>
      </c>
    </row>
    <row r="47" spans="1:32" s="30" customFormat="1" hidden="1">
      <c r="A47" s="122"/>
      <c r="B47" s="48"/>
      <c r="C47" s="48" t="s">
        <v>129</v>
      </c>
      <c r="D47" s="48"/>
      <c r="G47" s="49">
        <f>SUM(G42:G46)+6</f>
        <v>-13904442.34</v>
      </c>
      <c r="H47" s="49">
        <f t="shared" ref="H47:R47" si="8">SUM(H42:H46)</f>
        <v>-4165025</v>
      </c>
      <c r="I47" s="49">
        <v>23496775.550000012</v>
      </c>
      <c r="J47" s="32">
        <f t="shared" si="8"/>
        <v>38204950</v>
      </c>
      <c r="K47" s="32">
        <f t="shared" si="8"/>
        <v>0</v>
      </c>
      <c r="L47" s="32">
        <f t="shared" si="8"/>
        <v>546</v>
      </c>
      <c r="M47" s="32">
        <f t="shared" si="8"/>
        <v>664767</v>
      </c>
      <c r="N47" s="32">
        <f t="shared" si="8"/>
        <v>10</v>
      </c>
      <c r="O47" s="32">
        <f t="shared" si="8"/>
        <v>38870273</v>
      </c>
      <c r="P47" s="32">
        <f t="shared" si="8"/>
        <v>32228</v>
      </c>
      <c r="Q47" s="97"/>
      <c r="R47" s="32">
        <f t="shared" si="8"/>
        <v>-4329208.2799999984</v>
      </c>
      <c r="S47" s="32"/>
      <c r="T47" s="33">
        <v>42079862.379999951</v>
      </c>
      <c r="U47" s="73"/>
      <c r="Y47" s="77">
        <f t="shared" si="7"/>
        <v>0</v>
      </c>
      <c r="Z47" s="91"/>
      <c r="AA47" s="113"/>
      <c r="AB47" s="113"/>
      <c r="AC47" s="113"/>
      <c r="AD47" s="113"/>
      <c r="AE47" s="113"/>
      <c r="AF47" s="113"/>
    </row>
    <row r="48" spans="1:32" s="51" customFormat="1" hidden="1">
      <c r="A48" s="122"/>
      <c r="B48" s="50"/>
      <c r="C48" s="50"/>
      <c r="D48" s="50"/>
      <c r="G48" s="52"/>
      <c r="H48" s="52"/>
      <c r="I48" s="52"/>
      <c r="J48" s="33"/>
      <c r="K48" s="33"/>
      <c r="L48" s="33"/>
      <c r="M48" s="33"/>
      <c r="N48" s="33"/>
      <c r="O48" s="33"/>
      <c r="P48" s="33"/>
      <c r="Q48" s="97"/>
      <c r="R48" s="33"/>
      <c r="S48" s="33"/>
      <c r="T48" s="33"/>
      <c r="U48" s="74"/>
      <c r="Y48" s="78"/>
      <c r="Z48" s="92"/>
      <c r="AA48" s="114"/>
      <c r="AB48" s="114"/>
      <c r="AC48" s="114"/>
      <c r="AD48" s="114"/>
      <c r="AE48" s="114"/>
      <c r="AF48" s="114"/>
    </row>
    <row r="49" spans="1:32" hidden="1">
      <c r="A49" s="117"/>
      <c r="C49" s="16"/>
      <c r="F49" s="41" t="s">
        <v>155</v>
      </c>
      <c r="G49" s="53" t="e">
        <f>+SUM(#REF!+G47)</f>
        <v>#REF!</v>
      </c>
      <c r="H49" s="53" t="e">
        <f>+SUM(#REF!+H47)</f>
        <v>#REF!</v>
      </c>
      <c r="I49" s="53">
        <v>36759000.550000012</v>
      </c>
      <c r="J49" s="24" t="e">
        <f>+SUM(#REF!+J47)</f>
        <v>#REF!</v>
      </c>
      <c r="K49" s="24" t="e">
        <f>+SUM(#REF!+K47)</f>
        <v>#REF!</v>
      </c>
      <c r="L49" s="24" t="e">
        <f>+SUM(#REF!+L47)</f>
        <v>#REF!</v>
      </c>
      <c r="M49" s="24" t="e">
        <f>+SUM(#REF!+M47)</f>
        <v>#REF!</v>
      </c>
      <c r="N49" s="24" t="e">
        <f>+SUM(#REF!+N47)</f>
        <v>#REF!</v>
      </c>
      <c r="O49" s="24" t="e">
        <f>+SUM(#REF!+O47)</f>
        <v>#REF!</v>
      </c>
      <c r="P49" s="24" t="e">
        <f>+SUM(#REF!+P47)</f>
        <v>#REF!</v>
      </c>
      <c r="Q49" s="95"/>
      <c r="R49" s="24" t="e">
        <f>+SUM(#REF!+R47)</f>
        <v>#REF!</v>
      </c>
      <c r="S49" s="24"/>
      <c r="T49" s="21">
        <v>54598194.379999951</v>
      </c>
      <c r="W49" s="22"/>
    </row>
    <row r="50" spans="1:32" hidden="1">
      <c r="A50" s="117"/>
      <c r="B50" s="16"/>
      <c r="C50" s="16"/>
      <c r="D50" s="16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95"/>
      <c r="R50" s="17"/>
      <c r="S50" s="17"/>
      <c r="T50" s="17"/>
    </row>
    <row r="51" spans="1:32" ht="17" hidden="1" thickBot="1">
      <c r="A51" s="116" t="s">
        <v>154</v>
      </c>
      <c r="C51" s="4"/>
      <c r="G51" s="42" t="e">
        <f>#REF!+G49</f>
        <v>#REF!</v>
      </c>
      <c r="H51" s="42" t="e">
        <f>#REF!+H49</f>
        <v>#REF!</v>
      </c>
      <c r="I51" s="42">
        <v>101200593.37</v>
      </c>
      <c r="J51" s="42" t="e">
        <f>#REF!+J49</f>
        <v>#REF!</v>
      </c>
      <c r="K51" s="42"/>
      <c r="L51" s="42" t="e">
        <f>#REF!+L49</f>
        <v>#REF!</v>
      </c>
      <c r="M51" s="42" t="e">
        <f>#REF!+M49</f>
        <v>#REF!</v>
      </c>
      <c r="N51" s="42" t="e">
        <f>#REF!+N49</f>
        <v>#REF!</v>
      </c>
      <c r="O51" s="42" t="e">
        <f>#REF!+O49</f>
        <v>#REF!</v>
      </c>
      <c r="P51" s="42" t="e">
        <f>#REF!+P49</f>
        <v>#REF!</v>
      </c>
      <c r="Q51" s="95"/>
      <c r="R51" s="42" t="e">
        <f>#REF!+R49</f>
        <v>#REF!</v>
      </c>
      <c r="S51" s="42"/>
      <c r="T51" s="21">
        <v>112902576.25999996</v>
      </c>
    </row>
    <row r="52" spans="1:32" hidden="1">
      <c r="A52" s="117"/>
      <c r="B52" s="16"/>
      <c r="C52" s="16"/>
      <c r="D52" s="16"/>
      <c r="E52" s="16"/>
      <c r="F52" s="16"/>
      <c r="G52" s="17"/>
      <c r="H52" s="17"/>
      <c r="I52" s="17"/>
      <c r="J52" s="17" t="e">
        <f>+#REF!-J51</f>
        <v>#REF!</v>
      </c>
      <c r="K52" s="17"/>
      <c r="L52" s="17"/>
      <c r="M52" s="17"/>
      <c r="N52" s="17"/>
      <c r="O52" s="17" t="e">
        <f>+#REF!-O51</f>
        <v>#REF!</v>
      </c>
      <c r="P52" s="17"/>
      <c r="Q52" s="95"/>
      <c r="R52" s="17"/>
      <c r="S52" s="17"/>
      <c r="T52" s="17">
        <v>-2.9999971389770508E-2</v>
      </c>
    </row>
    <row r="53" spans="1:32" hidden="1">
      <c r="A53" s="117"/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95"/>
      <c r="R53" s="17"/>
      <c r="S53" s="17"/>
      <c r="T53" s="17"/>
    </row>
    <row r="54" spans="1:32" hidden="1">
      <c r="A54" s="117"/>
      <c r="B54" s="54" t="s">
        <v>157</v>
      </c>
      <c r="C54" s="16"/>
      <c r="D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95"/>
      <c r="R54" s="17"/>
      <c r="S54" s="17"/>
      <c r="T54" s="17"/>
    </row>
    <row r="55" spans="1:32" hidden="1">
      <c r="A55" s="117"/>
      <c r="B55" s="4" t="s">
        <v>97</v>
      </c>
      <c r="C55" s="16"/>
      <c r="D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95"/>
      <c r="R55" s="17"/>
      <c r="S55" s="17"/>
      <c r="T55" s="17"/>
      <c r="V55" s="1" t="s">
        <v>488</v>
      </c>
    </row>
    <row r="56" spans="1:32" s="23" customFormat="1" ht="48" hidden="1">
      <c r="A56" s="118" t="s">
        <v>184</v>
      </c>
      <c r="B56" s="55"/>
      <c r="C56" s="23" t="s">
        <v>159</v>
      </c>
      <c r="D56" s="55"/>
      <c r="G56" s="15">
        <v>42642056</v>
      </c>
      <c r="H56" s="15"/>
      <c r="I56" s="15">
        <v>16477029</v>
      </c>
      <c r="J56" s="17">
        <v>14537338</v>
      </c>
      <c r="K56" s="17"/>
      <c r="L56" s="17"/>
      <c r="M56" s="17"/>
      <c r="N56" s="17"/>
      <c r="O56" s="17">
        <f t="shared" ref="O56:O62" si="9">SUM(J56:N56)</f>
        <v>14537338</v>
      </c>
      <c r="P56" s="17"/>
      <c r="Q56" s="95"/>
      <c r="R56" s="17">
        <v>0</v>
      </c>
      <c r="S56" s="17"/>
      <c r="T56" s="17">
        <v>14537338</v>
      </c>
      <c r="U56" s="74">
        <f t="shared" ref="U56:U62" si="10">T56-I56</f>
        <v>-1939691</v>
      </c>
      <c r="V56" s="75">
        <f>SUM(T56:T59)</f>
        <v>331988404</v>
      </c>
      <c r="Y56" s="79">
        <f t="shared" si="7"/>
        <v>-0.11772091922639695</v>
      </c>
      <c r="Z56" s="83" t="s">
        <v>20</v>
      </c>
      <c r="AA56" s="96"/>
      <c r="AB56" s="96"/>
      <c r="AC56" s="96"/>
      <c r="AD56" s="96"/>
      <c r="AE56" s="96"/>
      <c r="AF56" s="96"/>
    </row>
    <row r="57" spans="1:32" s="23" customFormat="1" hidden="1">
      <c r="A57" s="118" t="s">
        <v>185</v>
      </c>
      <c r="B57" s="55"/>
      <c r="C57" s="23" t="s">
        <v>160</v>
      </c>
      <c r="D57" s="55"/>
      <c r="G57" s="15">
        <v>107235143</v>
      </c>
      <c r="H57" s="15"/>
      <c r="I57" s="15">
        <v>153702175</v>
      </c>
      <c r="J57" s="17">
        <v>142463224</v>
      </c>
      <c r="K57" s="17"/>
      <c r="L57" s="17"/>
      <c r="M57" s="17"/>
      <c r="N57" s="17"/>
      <c r="O57" s="17">
        <f t="shared" si="9"/>
        <v>142463224</v>
      </c>
      <c r="P57" s="17"/>
      <c r="Q57" s="95"/>
      <c r="R57" s="17"/>
      <c r="S57" s="17"/>
      <c r="T57" s="17">
        <v>142463224</v>
      </c>
      <c r="U57" s="74">
        <f t="shared" si="10"/>
        <v>-11238951</v>
      </c>
      <c r="Y57" s="79">
        <f t="shared" si="7"/>
        <v>-7.3121613275804326E-2</v>
      </c>
      <c r="Z57" s="83"/>
      <c r="AA57" s="96"/>
      <c r="AB57" s="96"/>
      <c r="AC57" s="96"/>
      <c r="AD57" s="96"/>
      <c r="AE57" s="96"/>
      <c r="AF57" s="96"/>
    </row>
    <row r="58" spans="1:32" s="23" customFormat="1" hidden="1">
      <c r="A58" s="118" t="s">
        <v>186</v>
      </c>
      <c r="B58" s="55"/>
      <c r="C58" s="23" t="s">
        <v>161</v>
      </c>
      <c r="D58" s="55"/>
      <c r="G58" s="15">
        <v>70316352</v>
      </c>
      <c r="H58" s="15"/>
      <c r="I58" s="15">
        <v>62054932</v>
      </c>
      <c r="J58" s="17">
        <v>67863208</v>
      </c>
      <c r="K58" s="17"/>
      <c r="L58" s="17"/>
      <c r="M58" s="17"/>
      <c r="N58" s="17"/>
      <c r="O58" s="17">
        <f t="shared" si="9"/>
        <v>67863208</v>
      </c>
      <c r="P58" s="17"/>
      <c r="Q58" s="95"/>
      <c r="R58" s="17">
        <v>0</v>
      </c>
      <c r="S58" s="17"/>
      <c r="T58" s="17">
        <v>67863208</v>
      </c>
      <c r="U58" s="74">
        <f t="shared" si="10"/>
        <v>5808276</v>
      </c>
      <c r="Y58" s="79">
        <f t="shared" si="7"/>
        <v>9.3598942304859836E-2</v>
      </c>
      <c r="Z58" s="83"/>
      <c r="AA58" s="96"/>
      <c r="AB58" s="96"/>
      <c r="AC58" s="96"/>
      <c r="AD58" s="96"/>
      <c r="AE58" s="96"/>
      <c r="AF58" s="96"/>
    </row>
    <row r="59" spans="1:32" s="23" customFormat="1" hidden="1">
      <c r="A59" s="118" t="s">
        <v>187</v>
      </c>
      <c r="B59" s="55"/>
      <c r="C59" s="23" t="s">
        <v>162</v>
      </c>
      <c r="D59" s="55"/>
      <c r="G59" s="17">
        <v>70369153</v>
      </c>
      <c r="H59" s="17">
        <v>311155855</v>
      </c>
      <c r="I59" s="17">
        <v>94604419</v>
      </c>
      <c r="J59" s="17">
        <v>107124634</v>
      </c>
      <c r="K59" s="17"/>
      <c r="L59" s="17"/>
      <c r="M59" s="17"/>
      <c r="N59" s="17"/>
      <c r="O59" s="17">
        <f t="shared" si="9"/>
        <v>107124634</v>
      </c>
      <c r="P59" s="17"/>
      <c r="Q59" s="95"/>
      <c r="R59" s="17"/>
      <c r="S59" s="17"/>
      <c r="T59" s="17">
        <v>107124634</v>
      </c>
      <c r="U59" s="74">
        <f t="shared" si="10"/>
        <v>12520215</v>
      </c>
      <c r="Y59" s="79">
        <f t="shared" si="7"/>
        <v>0.13234281371148213</v>
      </c>
      <c r="Z59" s="83"/>
      <c r="AA59" s="96"/>
      <c r="AB59" s="96"/>
      <c r="AC59" s="96"/>
      <c r="AD59" s="96"/>
      <c r="AE59" s="96"/>
      <c r="AF59" s="96"/>
    </row>
    <row r="60" spans="1:32" ht="64" hidden="1">
      <c r="A60" s="117"/>
      <c r="B60" s="16"/>
      <c r="C60" s="16" t="s">
        <v>115</v>
      </c>
      <c r="G60" s="25">
        <v>-174729926</v>
      </c>
      <c r="H60" s="25">
        <v>-197900528.44</v>
      </c>
      <c r="I60" s="25"/>
      <c r="J60" s="15"/>
      <c r="K60" s="15"/>
      <c r="L60" s="15"/>
      <c r="M60" s="15"/>
      <c r="N60" s="15"/>
      <c r="O60" s="17">
        <f t="shared" si="9"/>
        <v>0</v>
      </c>
      <c r="P60" s="15"/>
      <c r="Q60" s="95"/>
      <c r="R60" s="19"/>
      <c r="S60" s="19"/>
      <c r="T60" s="17"/>
      <c r="V60" s="1" t="s">
        <v>489</v>
      </c>
      <c r="Z60" s="83" t="s">
        <v>5</v>
      </c>
    </row>
    <row r="61" spans="1:32" hidden="1">
      <c r="A61" s="118" t="s">
        <v>182</v>
      </c>
      <c r="B61" s="16"/>
      <c r="C61" s="16"/>
      <c r="D61" s="1" t="s">
        <v>169</v>
      </c>
      <c r="G61" s="25"/>
      <c r="H61" s="25"/>
      <c r="I61" s="25">
        <v>-115521492</v>
      </c>
      <c r="J61" s="15">
        <f>-97853764</f>
        <v>-97853764</v>
      </c>
      <c r="K61" s="15"/>
      <c r="L61" s="15"/>
      <c r="M61" s="15"/>
      <c r="N61" s="15"/>
      <c r="O61" s="17">
        <f t="shared" si="9"/>
        <v>-97853764</v>
      </c>
      <c r="P61" s="15">
        <f>128770</f>
        <v>128770</v>
      </c>
      <c r="Q61" s="95" t="s">
        <v>59</v>
      </c>
      <c r="R61" s="15">
        <v>0</v>
      </c>
      <c r="S61" s="19"/>
      <c r="T61" s="17">
        <v>-97982534</v>
      </c>
      <c r="U61" s="73">
        <f t="shared" si="10"/>
        <v>17538958</v>
      </c>
      <c r="V61" s="22">
        <f>SUM(T61:T63)</f>
        <v>-205509378</v>
      </c>
      <c r="Y61" s="76">
        <f t="shared" si="7"/>
        <v>-0.15182419908496333</v>
      </c>
      <c r="Z61" s="83"/>
    </row>
    <row r="62" spans="1:32" hidden="1">
      <c r="A62" s="118" t="s">
        <v>183</v>
      </c>
      <c r="B62" s="16"/>
      <c r="C62" s="16"/>
      <c r="D62" s="1" t="s">
        <v>170</v>
      </c>
      <c r="G62" s="25"/>
      <c r="H62" s="25"/>
      <c r="I62" s="25">
        <v>-106065559</v>
      </c>
      <c r="J62" s="15">
        <v>-114983288</v>
      </c>
      <c r="K62" s="15"/>
      <c r="L62" s="15"/>
      <c r="M62" s="15"/>
      <c r="N62" s="15"/>
      <c r="O62" s="17">
        <f t="shared" si="9"/>
        <v>-114983288</v>
      </c>
      <c r="P62" s="15">
        <v>2919088</v>
      </c>
      <c r="Q62" s="95" t="s">
        <v>78</v>
      </c>
      <c r="R62" s="15">
        <f>3107109+959001</f>
        <v>4066110</v>
      </c>
      <c r="S62" s="19"/>
      <c r="T62" s="17">
        <v>-113836266</v>
      </c>
      <c r="U62" s="73">
        <f t="shared" si="10"/>
        <v>-7770707</v>
      </c>
      <c r="Y62" s="76">
        <f t="shared" si="7"/>
        <v>7.3263244669271019E-2</v>
      </c>
      <c r="Z62" s="83"/>
    </row>
    <row r="63" spans="1:32" hidden="1">
      <c r="A63" s="117">
        <v>2365</v>
      </c>
      <c r="B63" s="16"/>
      <c r="C63" s="16" t="s">
        <v>116</v>
      </c>
      <c r="G63" s="25">
        <v>6307970</v>
      </c>
      <c r="H63" s="25">
        <v>6307970</v>
      </c>
      <c r="I63" s="25">
        <v>6307970</v>
      </c>
      <c r="J63" s="15">
        <v>6290500</v>
      </c>
      <c r="K63" s="15"/>
      <c r="L63" s="15"/>
      <c r="M63" s="15"/>
      <c r="N63" s="15"/>
      <c r="O63" s="17">
        <f t="shared" ref="O63:O71" si="11">SUM(J63:N63)</f>
        <v>6290500</v>
      </c>
      <c r="P63" s="15"/>
      <c r="Q63" s="95" t="s">
        <v>60</v>
      </c>
      <c r="R63" s="15">
        <f>18922</f>
        <v>18922</v>
      </c>
      <c r="S63" s="15"/>
      <c r="T63" s="17">
        <v>6309422</v>
      </c>
      <c r="Y63" s="76">
        <f t="shared" si="7"/>
        <v>0</v>
      </c>
      <c r="Z63" s="83"/>
    </row>
    <row r="64" spans="1:32" hidden="1">
      <c r="A64" s="117">
        <v>2357</v>
      </c>
      <c r="B64" s="55"/>
      <c r="C64" s="55" t="s">
        <v>117</v>
      </c>
      <c r="G64" s="46">
        <v>-7689254</v>
      </c>
      <c r="H64" s="46"/>
      <c r="I64" s="46">
        <v>0</v>
      </c>
      <c r="J64" s="17"/>
      <c r="K64" s="17"/>
      <c r="L64" s="17"/>
      <c r="M64" s="17"/>
      <c r="N64" s="17"/>
      <c r="O64" s="17">
        <f t="shared" si="11"/>
        <v>0</v>
      </c>
      <c r="P64" s="17"/>
      <c r="Q64" s="95"/>
      <c r="R64" s="17"/>
      <c r="S64" s="17"/>
      <c r="T64" s="17">
        <v>0</v>
      </c>
      <c r="Z64" s="83"/>
    </row>
    <row r="65" spans="1:32" hidden="1">
      <c r="A65" s="117">
        <v>2366</v>
      </c>
      <c r="B65" s="56"/>
      <c r="C65" s="16" t="s">
        <v>165</v>
      </c>
      <c r="G65" s="25">
        <v>-154862</v>
      </c>
      <c r="H65" s="25">
        <v>-733925.03</v>
      </c>
      <c r="I65" s="25">
        <v>0</v>
      </c>
      <c r="J65" s="15"/>
      <c r="K65" s="15"/>
      <c r="L65" s="15"/>
      <c r="M65" s="15"/>
      <c r="N65" s="15"/>
      <c r="O65" s="17">
        <f t="shared" si="11"/>
        <v>0</v>
      </c>
      <c r="P65" s="15"/>
      <c r="Q65" s="95"/>
      <c r="R65" s="15"/>
      <c r="S65" s="15"/>
      <c r="T65" s="17">
        <v>0</v>
      </c>
      <c r="U65" s="73">
        <f t="shared" ref="U65:U71" si="12">T65-I65</f>
        <v>0</v>
      </c>
      <c r="Z65" s="83"/>
    </row>
    <row r="66" spans="1:32" hidden="1">
      <c r="A66" s="117">
        <v>2367</v>
      </c>
      <c r="B66" s="56"/>
      <c r="C66" s="16" t="s">
        <v>166</v>
      </c>
      <c r="G66" s="25">
        <v>-5216686</v>
      </c>
      <c r="H66" s="25">
        <v>-994211.19</v>
      </c>
      <c r="I66" s="25">
        <v>0</v>
      </c>
      <c r="J66" s="15"/>
      <c r="K66" s="15"/>
      <c r="L66" s="15"/>
      <c r="M66" s="15"/>
      <c r="N66" s="15"/>
      <c r="O66" s="17">
        <f t="shared" si="11"/>
        <v>0</v>
      </c>
      <c r="P66" s="15"/>
      <c r="Q66" s="95"/>
      <c r="R66" s="15"/>
      <c r="S66" s="15"/>
      <c r="T66" s="17">
        <v>0</v>
      </c>
      <c r="U66" s="73">
        <f t="shared" si="12"/>
        <v>0</v>
      </c>
    </row>
    <row r="67" spans="1:32" hidden="1">
      <c r="A67" s="117">
        <v>2368</v>
      </c>
      <c r="B67" s="56" t="s">
        <v>167</v>
      </c>
      <c r="C67" s="16" t="s">
        <v>168</v>
      </c>
      <c r="G67" s="25">
        <v>-12416861</v>
      </c>
      <c r="H67" s="25">
        <v>-3041006.39</v>
      </c>
      <c r="I67" s="25">
        <v>0</v>
      </c>
      <c r="J67" s="15"/>
      <c r="K67" s="15"/>
      <c r="L67" s="15"/>
      <c r="M67" s="15"/>
      <c r="N67" s="15"/>
      <c r="O67" s="17">
        <f t="shared" si="11"/>
        <v>0</v>
      </c>
      <c r="P67" s="15"/>
      <c r="Q67" s="95"/>
      <c r="R67" s="15"/>
      <c r="S67" s="15"/>
      <c r="T67" s="17">
        <v>0</v>
      </c>
      <c r="U67" s="73">
        <f t="shared" si="12"/>
        <v>0</v>
      </c>
    </row>
    <row r="68" spans="1:32" hidden="1">
      <c r="A68" s="117"/>
      <c r="B68" s="16"/>
      <c r="C68" s="16" t="s">
        <v>118</v>
      </c>
      <c r="G68" s="25">
        <v>-12726522</v>
      </c>
      <c r="H68" s="25">
        <v>-14757450.859999999</v>
      </c>
      <c r="I68" s="25">
        <v>0</v>
      </c>
      <c r="J68" s="15"/>
      <c r="K68" s="15"/>
      <c r="L68" s="15"/>
      <c r="M68" s="15"/>
      <c r="N68" s="15"/>
      <c r="O68" s="17">
        <f t="shared" si="11"/>
        <v>0</v>
      </c>
      <c r="P68" s="15"/>
      <c r="Q68" s="95"/>
      <c r="R68" s="15"/>
      <c r="S68" s="15"/>
      <c r="T68" s="17">
        <v>0</v>
      </c>
      <c r="U68" s="73">
        <f t="shared" si="12"/>
        <v>0</v>
      </c>
      <c r="V68" s="1" t="s">
        <v>490</v>
      </c>
      <c r="Z68" s="87" t="s">
        <v>6</v>
      </c>
    </row>
    <row r="69" spans="1:32" hidden="1">
      <c r="A69" s="118" t="s">
        <v>188</v>
      </c>
      <c r="B69" s="16"/>
      <c r="C69" s="16"/>
      <c r="D69" s="1" t="s">
        <v>163</v>
      </c>
      <c r="G69" s="15"/>
      <c r="H69" s="15"/>
      <c r="I69" s="15">
        <v>-14096445</v>
      </c>
      <c r="J69" s="15">
        <v>-24042088</v>
      </c>
      <c r="K69" s="15"/>
      <c r="L69" s="15"/>
      <c r="M69" s="15"/>
      <c r="N69" s="15"/>
      <c r="O69" s="17">
        <f t="shared" si="11"/>
        <v>-24042088</v>
      </c>
      <c r="P69" s="15"/>
      <c r="Q69" s="95"/>
      <c r="R69" s="15"/>
      <c r="S69" s="15"/>
      <c r="T69" s="17">
        <v>-24042088</v>
      </c>
      <c r="U69" s="73">
        <f t="shared" si="12"/>
        <v>-9945643</v>
      </c>
      <c r="V69" s="22">
        <f>SUM(T69:T71)</f>
        <v>-24010994</v>
      </c>
      <c r="Y69" s="76">
        <f t="shared" si="7"/>
        <v>0.70554263858724664</v>
      </c>
      <c r="Z69" s="87"/>
    </row>
    <row r="70" spans="1:32" hidden="1">
      <c r="A70" s="118" t="s">
        <v>189</v>
      </c>
      <c r="B70" s="16"/>
      <c r="C70" s="16"/>
      <c r="D70" s="1" t="s">
        <v>164</v>
      </c>
      <c r="G70" s="15"/>
      <c r="H70" s="15"/>
      <c r="I70" s="15">
        <v>206741</v>
      </c>
      <c r="J70" s="15">
        <v>18402</v>
      </c>
      <c r="K70" s="15"/>
      <c r="L70" s="15"/>
      <c r="M70" s="15"/>
      <c r="N70" s="15"/>
      <c r="O70" s="17">
        <f t="shared" si="11"/>
        <v>18402</v>
      </c>
      <c r="P70" s="15"/>
      <c r="Q70" s="95"/>
      <c r="R70" s="15"/>
      <c r="S70" s="15"/>
      <c r="T70" s="17">
        <v>18402</v>
      </c>
      <c r="U70" s="73">
        <f t="shared" si="12"/>
        <v>-188339</v>
      </c>
      <c r="Y70" s="76">
        <f t="shared" si="7"/>
        <v>-0.91099007937467658</v>
      </c>
      <c r="Z70" s="87"/>
    </row>
    <row r="71" spans="1:32" hidden="1">
      <c r="A71" s="121">
        <v>2375</v>
      </c>
      <c r="B71" s="16"/>
      <c r="C71" s="16"/>
      <c r="D71" s="1" t="s">
        <v>464</v>
      </c>
      <c r="G71" s="15"/>
      <c r="H71" s="15"/>
      <c r="I71" s="15">
        <v>710</v>
      </c>
      <c r="J71" s="15">
        <v>12692</v>
      </c>
      <c r="K71" s="15"/>
      <c r="L71" s="15"/>
      <c r="M71" s="15"/>
      <c r="N71" s="15"/>
      <c r="O71" s="17">
        <f t="shared" si="11"/>
        <v>12692</v>
      </c>
      <c r="P71" s="15"/>
      <c r="Q71" s="95"/>
      <c r="R71" s="15"/>
      <c r="S71" s="15"/>
      <c r="T71" s="17">
        <v>12692</v>
      </c>
      <c r="U71" s="73">
        <f t="shared" si="12"/>
        <v>11982</v>
      </c>
      <c r="Y71" s="76">
        <f t="shared" si="7"/>
        <v>16.876056338028167</v>
      </c>
    </row>
    <row r="72" spans="1:32" s="58" customFormat="1" hidden="1">
      <c r="A72" s="116"/>
      <c r="B72" s="57"/>
      <c r="C72" s="57" t="s">
        <v>158</v>
      </c>
      <c r="D72" s="57"/>
      <c r="G72" s="35">
        <f t="shared" ref="G72:P72" si="13">+SUM(G56:G70)</f>
        <v>83936563</v>
      </c>
      <c r="H72" s="35">
        <f t="shared" si="13"/>
        <v>100036703.09</v>
      </c>
      <c r="I72" s="35">
        <v>97670480</v>
      </c>
      <c r="J72" s="35">
        <f>+SUM(J56:J71)</f>
        <v>101430858</v>
      </c>
      <c r="K72" s="35">
        <f t="shared" si="13"/>
        <v>0</v>
      </c>
      <c r="L72" s="35">
        <f t="shared" si="13"/>
        <v>0</v>
      </c>
      <c r="M72" s="35">
        <f t="shared" si="13"/>
        <v>0</v>
      </c>
      <c r="N72" s="35">
        <f t="shared" si="13"/>
        <v>0</v>
      </c>
      <c r="O72" s="35">
        <f>+SUM(O56:O71)</f>
        <v>101430858</v>
      </c>
      <c r="P72" s="35">
        <f t="shared" si="13"/>
        <v>3047858</v>
      </c>
      <c r="Q72" s="95"/>
      <c r="R72" s="35">
        <f>+SUM(R56:R70)</f>
        <v>4085032</v>
      </c>
      <c r="S72" s="35"/>
      <c r="T72" s="21">
        <v>102468032</v>
      </c>
      <c r="U72" s="110"/>
      <c r="Y72" s="80">
        <f t="shared" si="7"/>
        <v>0</v>
      </c>
      <c r="Z72" s="93"/>
      <c r="AA72" s="115"/>
      <c r="AB72" s="115"/>
      <c r="AC72" s="115"/>
      <c r="AD72" s="115"/>
      <c r="AE72" s="115"/>
      <c r="AF72" s="115"/>
    </row>
    <row r="73" spans="1:32" hidden="1">
      <c r="A73" s="117"/>
      <c r="B73" s="4" t="s">
        <v>98</v>
      </c>
      <c r="C73" s="16"/>
      <c r="D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95"/>
      <c r="R73" s="17"/>
      <c r="S73" s="17"/>
      <c r="T73" s="17"/>
    </row>
    <row r="74" spans="1:32" hidden="1">
      <c r="A74" s="117">
        <v>1763</v>
      </c>
      <c r="B74" s="16"/>
      <c r="C74" s="16" t="s">
        <v>171</v>
      </c>
      <c r="D74" s="16"/>
      <c r="E74" s="16"/>
      <c r="F74" s="16"/>
      <c r="G74" s="21">
        <f>21110000</f>
        <v>21110000</v>
      </c>
      <c r="H74" s="21">
        <v>21943441</v>
      </c>
      <c r="I74" s="21">
        <v>20414281</v>
      </c>
      <c r="J74" s="21">
        <v>19611853</v>
      </c>
      <c r="K74" s="21"/>
      <c r="L74" s="21"/>
      <c r="M74" s="21"/>
      <c r="N74" s="21"/>
      <c r="O74" s="21">
        <f t="shared" ref="O74:O86" si="14">SUM(J74:N74)</f>
        <v>19611853</v>
      </c>
      <c r="P74" s="21">
        <v>83374</v>
      </c>
      <c r="Q74" s="95" t="s">
        <v>62</v>
      </c>
      <c r="R74" s="21"/>
      <c r="S74" s="21"/>
      <c r="T74" s="21">
        <v>19528479</v>
      </c>
      <c r="U74" s="73">
        <f t="shared" ref="U74:U80" si="15">T74-I74</f>
        <v>-885802</v>
      </c>
      <c r="V74" s="1" t="s">
        <v>491</v>
      </c>
      <c r="Y74" s="76">
        <f t="shared" si="7"/>
        <v>-4.3391290636197274E-2</v>
      </c>
    </row>
    <row r="75" spans="1:32" hidden="1">
      <c r="A75" s="117">
        <v>1871</v>
      </c>
      <c r="B75" s="16" t="s">
        <v>29</v>
      </c>
      <c r="C75" s="16" t="s">
        <v>27</v>
      </c>
      <c r="D75" s="16"/>
      <c r="E75" s="16"/>
      <c r="F75" s="16"/>
      <c r="G75" s="21"/>
      <c r="H75" s="21"/>
      <c r="I75" s="21">
        <v>3771578</v>
      </c>
      <c r="J75" s="21">
        <v>8859691</v>
      </c>
      <c r="K75" s="21"/>
      <c r="L75" s="21"/>
      <c r="M75" s="21"/>
      <c r="N75" s="21"/>
      <c r="O75" s="21">
        <f t="shared" si="14"/>
        <v>8859691</v>
      </c>
      <c r="P75" s="17">
        <v>0</v>
      </c>
      <c r="Q75" s="95"/>
      <c r="R75" s="21">
        <v>0</v>
      </c>
      <c r="S75" s="21"/>
      <c r="T75" s="21">
        <v>8859691</v>
      </c>
      <c r="U75" s="73">
        <f t="shared" si="15"/>
        <v>5088113</v>
      </c>
      <c r="Y75" s="76">
        <f t="shared" si="7"/>
        <v>1.3490674195257264</v>
      </c>
    </row>
    <row r="76" spans="1:32" hidden="1">
      <c r="A76" s="117">
        <v>1874</v>
      </c>
      <c r="B76" s="16"/>
      <c r="C76" s="16" t="s">
        <v>172</v>
      </c>
      <c r="D76" s="16"/>
      <c r="E76" s="16"/>
      <c r="F76" s="16"/>
      <c r="G76" s="35">
        <v>4243174</v>
      </c>
      <c r="H76" s="35">
        <v>6384635</v>
      </c>
      <c r="I76" s="35">
        <v>4583166</v>
      </c>
      <c r="J76" s="35">
        <v>5723325</v>
      </c>
      <c r="K76" s="35"/>
      <c r="L76" s="35"/>
      <c r="M76" s="35"/>
      <c r="N76" s="35"/>
      <c r="O76" s="35">
        <f>SUM(J76:N76)</f>
        <v>5723325</v>
      </c>
      <c r="P76" s="35"/>
      <c r="Q76" s="95"/>
      <c r="R76" s="35"/>
      <c r="S76" s="35"/>
      <c r="T76" s="21">
        <v>5723325</v>
      </c>
      <c r="U76" s="73">
        <f t="shared" si="15"/>
        <v>1140159</v>
      </c>
      <c r="V76" s="22">
        <f>SUM(T74:T81)</f>
        <v>49897922</v>
      </c>
      <c r="Y76" s="76">
        <f t="shared" si="7"/>
        <v>0.24877104604109909</v>
      </c>
      <c r="Z76" s="89" t="s">
        <v>14</v>
      </c>
    </row>
    <row r="77" spans="1:32" hidden="1">
      <c r="A77" s="117">
        <v>2371</v>
      </c>
      <c r="B77" s="16"/>
      <c r="C77" s="16" t="s">
        <v>452</v>
      </c>
      <c r="D77" s="16"/>
      <c r="E77" s="16"/>
      <c r="F77" s="16"/>
      <c r="G77" s="21">
        <v>7447670</v>
      </c>
      <c r="H77" s="21">
        <v>4748445</v>
      </c>
      <c r="I77" s="21">
        <v>8486111</v>
      </c>
      <c r="J77" s="21">
        <v>20959549</v>
      </c>
      <c r="K77" s="21"/>
      <c r="L77" s="21"/>
      <c r="M77" s="21"/>
      <c r="N77" s="21"/>
      <c r="O77" s="21">
        <f>SUM(J77:N77)</f>
        <v>20959549</v>
      </c>
      <c r="P77" s="21">
        <f>9000000+99000</f>
        <v>9099000</v>
      </c>
      <c r="Q77" s="95" t="s">
        <v>4</v>
      </c>
      <c r="R77" s="21"/>
      <c r="S77" s="21"/>
      <c r="T77" s="21">
        <v>11860549</v>
      </c>
      <c r="U77" s="73">
        <f t="shared" si="15"/>
        <v>3374438</v>
      </c>
      <c r="Y77" s="76">
        <f t="shared" si="7"/>
        <v>0.39764245365161971</v>
      </c>
      <c r="Z77" s="89" t="s">
        <v>14</v>
      </c>
    </row>
    <row r="78" spans="1:32" hidden="1">
      <c r="A78" s="117">
        <v>1768</v>
      </c>
      <c r="B78" s="16"/>
      <c r="C78" s="16" t="s">
        <v>200</v>
      </c>
      <c r="D78" s="16"/>
      <c r="E78" s="16"/>
      <c r="F78" s="16"/>
      <c r="G78" s="35">
        <v>275507</v>
      </c>
      <c r="H78" s="35"/>
      <c r="I78" s="35">
        <v>0</v>
      </c>
      <c r="J78" s="35"/>
      <c r="K78" s="35"/>
      <c r="L78" s="35"/>
      <c r="M78" s="35"/>
      <c r="N78" s="35"/>
      <c r="O78" s="35">
        <f t="shared" si="14"/>
        <v>0</v>
      </c>
      <c r="P78" s="35"/>
      <c r="Q78" s="95"/>
      <c r="R78" s="35"/>
      <c r="S78" s="35"/>
      <c r="T78" s="21">
        <v>0</v>
      </c>
      <c r="U78" s="73">
        <f t="shared" si="15"/>
        <v>0</v>
      </c>
    </row>
    <row r="79" spans="1:32" hidden="1">
      <c r="A79" s="117">
        <v>1861</v>
      </c>
      <c r="B79" s="16"/>
      <c r="C79" s="16" t="s">
        <v>173</v>
      </c>
      <c r="D79" s="16"/>
      <c r="E79" s="16"/>
      <c r="F79" s="16"/>
      <c r="G79" s="21">
        <v>493339</v>
      </c>
      <c r="H79" s="21">
        <v>344723</v>
      </c>
      <c r="I79" s="21">
        <v>340122</v>
      </c>
      <c r="J79" s="21">
        <v>0</v>
      </c>
      <c r="K79" s="21"/>
      <c r="L79" s="21"/>
      <c r="M79" s="21"/>
      <c r="N79" s="21"/>
      <c r="O79" s="21">
        <f t="shared" si="14"/>
        <v>0</v>
      </c>
      <c r="P79" s="21"/>
      <c r="Q79" s="95"/>
      <c r="R79" s="21"/>
      <c r="S79" s="21"/>
      <c r="T79" s="21">
        <v>0</v>
      </c>
      <c r="U79" s="73">
        <f t="shared" si="15"/>
        <v>-340122</v>
      </c>
      <c r="Y79" s="76">
        <f t="shared" si="7"/>
        <v>-1</v>
      </c>
    </row>
    <row r="80" spans="1:32" hidden="1">
      <c r="A80" s="117">
        <v>1682</v>
      </c>
      <c r="B80" s="16"/>
      <c r="C80" s="16" t="s">
        <v>174</v>
      </c>
      <c r="D80" s="16"/>
      <c r="E80" s="16"/>
      <c r="F80" s="16"/>
      <c r="G80" s="35">
        <v>3767482</v>
      </c>
      <c r="H80" s="35">
        <v>3898342</v>
      </c>
      <c r="I80" s="35">
        <v>3925878</v>
      </c>
      <c r="J80" s="35">
        <v>3925878</v>
      </c>
      <c r="K80" s="35"/>
      <c r="L80" s="35"/>
      <c r="M80" s="35"/>
      <c r="N80" s="35"/>
      <c r="O80" s="35">
        <f t="shared" si="14"/>
        <v>3925878</v>
      </c>
      <c r="P80" s="35"/>
      <c r="Q80" s="95"/>
      <c r="R80" s="35"/>
      <c r="S80" s="35"/>
      <c r="T80" s="21">
        <v>3925878</v>
      </c>
      <c r="U80" s="73">
        <f t="shared" si="15"/>
        <v>0</v>
      </c>
      <c r="Y80" s="76">
        <f t="shared" si="7"/>
        <v>0</v>
      </c>
    </row>
    <row r="81" spans="1:26" hidden="1">
      <c r="A81" s="117">
        <v>2661</v>
      </c>
      <c r="B81" s="16"/>
      <c r="C81" s="16" t="s">
        <v>175</v>
      </c>
      <c r="D81" s="16"/>
      <c r="E81" s="16"/>
      <c r="F81" s="16"/>
      <c r="G81" s="24">
        <v>85856</v>
      </c>
      <c r="H81" s="24"/>
      <c r="I81" s="24">
        <v>0</v>
      </c>
      <c r="J81" s="24"/>
      <c r="K81" s="24"/>
      <c r="L81" s="24"/>
      <c r="M81" s="24"/>
      <c r="N81" s="24"/>
      <c r="O81" s="24">
        <f t="shared" si="14"/>
        <v>0</v>
      </c>
      <c r="P81" s="24"/>
      <c r="Q81" s="95"/>
      <c r="R81" s="24"/>
      <c r="S81" s="24"/>
      <c r="T81" s="21">
        <v>0</v>
      </c>
    </row>
    <row r="82" spans="1:26" hidden="1">
      <c r="A82" s="117"/>
      <c r="B82" s="4" t="s">
        <v>99</v>
      </c>
      <c r="C82" s="16"/>
      <c r="D82" s="16"/>
      <c r="G82" s="17"/>
      <c r="H82" s="17"/>
      <c r="I82" s="17"/>
      <c r="J82" s="17">
        <f>SUM(J74:J81)</f>
        <v>59080296</v>
      </c>
      <c r="K82" s="17"/>
      <c r="L82" s="17"/>
      <c r="M82" s="17"/>
      <c r="N82" s="17"/>
      <c r="O82" s="17"/>
      <c r="P82" s="17"/>
      <c r="Q82" s="95"/>
      <c r="R82" s="17"/>
      <c r="S82" s="17"/>
      <c r="T82" s="17">
        <v>49897922</v>
      </c>
    </row>
    <row r="83" spans="1:26" hidden="1">
      <c r="A83" s="117"/>
      <c r="B83" s="16"/>
      <c r="C83" s="16" t="s">
        <v>176</v>
      </c>
      <c r="D83" s="16"/>
      <c r="E83" s="16"/>
      <c r="F83" s="16"/>
      <c r="G83" s="17">
        <v>2854697</v>
      </c>
      <c r="H83" s="17">
        <v>2193530</v>
      </c>
      <c r="I83" s="17">
        <v>0</v>
      </c>
      <c r="J83" s="17"/>
      <c r="K83" s="17"/>
      <c r="L83" s="17"/>
      <c r="M83" s="17"/>
      <c r="N83" s="17"/>
      <c r="O83" s="17">
        <f t="shared" si="14"/>
        <v>0</v>
      </c>
      <c r="P83" s="17"/>
      <c r="Q83" s="95"/>
      <c r="R83" s="17"/>
      <c r="S83" s="17"/>
      <c r="T83" s="17">
        <v>0</v>
      </c>
      <c r="U83" s="73">
        <f t="shared" ref="U83:U117" si="16">T83-I83</f>
        <v>0</v>
      </c>
      <c r="Z83" s="83" t="s">
        <v>21</v>
      </c>
    </row>
    <row r="84" spans="1:26" hidden="1">
      <c r="A84" s="118" t="s">
        <v>455</v>
      </c>
      <c r="B84" s="16"/>
      <c r="C84" s="16"/>
      <c r="E84" s="16" t="s">
        <v>179</v>
      </c>
      <c r="F84" s="16"/>
      <c r="G84" s="17"/>
      <c r="H84" s="17"/>
      <c r="I84" s="17">
        <v>1764790</v>
      </c>
      <c r="J84" s="17">
        <v>1655732</v>
      </c>
      <c r="K84" s="17"/>
      <c r="L84" s="17"/>
      <c r="M84" s="17"/>
      <c r="N84" s="17"/>
      <c r="O84" s="17">
        <f t="shared" si="14"/>
        <v>1655732</v>
      </c>
      <c r="P84" s="17">
        <v>0</v>
      </c>
      <c r="Q84" s="95"/>
      <c r="R84" s="17"/>
      <c r="S84" s="17"/>
      <c r="T84" s="17">
        <v>1655732</v>
      </c>
      <c r="U84" s="73">
        <f t="shared" si="16"/>
        <v>-109058</v>
      </c>
      <c r="Y84" s="76">
        <f t="shared" si="7"/>
        <v>-6.1796587695986491E-2</v>
      </c>
      <c r="Z84" s="83"/>
    </row>
    <row r="85" spans="1:26" hidden="1">
      <c r="A85" s="118" t="s">
        <v>456</v>
      </c>
      <c r="B85" s="16"/>
      <c r="C85" s="16"/>
      <c r="E85" s="16" t="s">
        <v>180</v>
      </c>
      <c r="F85" s="16"/>
      <c r="G85" s="17"/>
      <c r="H85" s="17"/>
      <c r="I85" s="17">
        <v>561754</v>
      </c>
      <c r="J85" s="17">
        <v>500323</v>
      </c>
      <c r="K85" s="17"/>
      <c r="L85" s="17"/>
      <c r="M85" s="17"/>
      <c r="N85" s="17"/>
      <c r="O85" s="17">
        <f t="shared" si="14"/>
        <v>500323</v>
      </c>
      <c r="P85" s="17"/>
      <c r="Q85" s="95"/>
      <c r="R85" s="17"/>
      <c r="S85" s="17"/>
      <c r="T85" s="17">
        <v>500323</v>
      </c>
      <c r="U85" s="73">
        <f t="shared" si="16"/>
        <v>-61431</v>
      </c>
      <c r="Y85" s="76">
        <f t="shared" si="7"/>
        <v>-0.1093556966216529</v>
      </c>
      <c r="Z85" s="83"/>
    </row>
    <row r="86" spans="1:26" hidden="1">
      <c r="A86" s="118" t="s">
        <v>457</v>
      </c>
      <c r="B86" s="16"/>
      <c r="C86" s="16"/>
      <c r="E86" s="16" t="s">
        <v>181</v>
      </c>
      <c r="F86" s="16"/>
      <c r="G86" s="17"/>
      <c r="H86" s="17"/>
      <c r="I86" s="17">
        <v>0</v>
      </c>
      <c r="J86" s="17"/>
      <c r="K86" s="17"/>
      <c r="L86" s="17"/>
      <c r="M86" s="17"/>
      <c r="N86" s="17"/>
      <c r="O86" s="17">
        <f t="shared" si="14"/>
        <v>0</v>
      </c>
      <c r="P86" s="17"/>
      <c r="Q86" s="95"/>
      <c r="R86" s="17"/>
      <c r="S86" s="17"/>
      <c r="T86" s="17">
        <v>0</v>
      </c>
      <c r="U86" s="73">
        <f t="shared" si="16"/>
        <v>0</v>
      </c>
    </row>
    <row r="87" spans="1:26" hidden="1">
      <c r="A87" s="117"/>
      <c r="B87" s="16"/>
      <c r="C87" s="16"/>
      <c r="D87" s="1" t="s">
        <v>197</v>
      </c>
      <c r="E87" s="16"/>
      <c r="F87" s="16"/>
      <c r="G87" s="35">
        <f>+SUM(G83:G86)</f>
        <v>2854697</v>
      </c>
      <c r="H87" s="35">
        <f t="shared" ref="H87:R87" si="17">+SUM(H83:H86)</f>
        <v>2193530</v>
      </c>
      <c r="I87" s="35">
        <v>2326544</v>
      </c>
      <c r="J87" s="35">
        <f t="shared" si="17"/>
        <v>2156055</v>
      </c>
      <c r="K87" s="35">
        <f t="shared" si="17"/>
        <v>0</v>
      </c>
      <c r="L87" s="35">
        <f t="shared" si="17"/>
        <v>0</v>
      </c>
      <c r="M87" s="35">
        <f t="shared" si="17"/>
        <v>0</v>
      </c>
      <c r="N87" s="35">
        <f t="shared" si="17"/>
        <v>0</v>
      </c>
      <c r="O87" s="35">
        <f t="shared" si="17"/>
        <v>2156055</v>
      </c>
      <c r="P87" s="35">
        <f t="shared" si="17"/>
        <v>0</v>
      </c>
      <c r="Q87" s="95"/>
      <c r="R87" s="35">
        <f t="shared" si="17"/>
        <v>0</v>
      </c>
      <c r="S87" s="35"/>
      <c r="T87" s="21">
        <v>2156055</v>
      </c>
      <c r="U87" s="73">
        <f t="shared" si="16"/>
        <v>-170489</v>
      </c>
      <c r="Y87" s="76">
        <f t="shared" si="7"/>
        <v>-7.3279937968076247E-2</v>
      </c>
    </row>
    <row r="88" spans="1:26" hidden="1">
      <c r="A88" s="117"/>
      <c r="B88" s="16"/>
      <c r="C88" s="16" t="s">
        <v>177</v>
      </c>
      <c r="D88" s="16"/>
      <c r="G88" s="17"/>
      <c r="H88" s="17"/>
      <c r="I88" s="17">
        <v>0</v>
      </c>
      <c r="J88" s="17"/>
      <c r="K88" s="17"/>
      <c r="L88" s="17"/>
      <c r="M88" s="17"/>
      <c r="N88" s="17"/>
      <c r="O88" s="17"/>
      <c r="P88" s="17"/>
      <c r="Q88" s="95"/>
      <c r="R88" s="17">
        <v>0</v>
      </c>
      <c r="S88" s="17"/>
      <c r="T88" s="17">
        <v>0</v>
      </c>
      <c r="U88" s="73">
        <f t="shared" si="16"/>
        <v>0</v>
      </c>
    </row>
    <row r="89" spans="1:26" hidden="1">
      <c r="A89" s="117" t="s">
        <v>144</v>
      </c>
      <c r="B89" s="16"/>
      <c r="C89" s="16"/>
      <c r="D89" s="16"/>
      <c r="E89" s="16" t="s">
        <v>145</v>
      </c>
      <c r="F89" s="16"/>
      <c r="G89" s="15">
        <v>1917</v>
      </c>
      <c r="H89" s="15"/>
      <c r="I89" s="15">
        <v>0</v>
      </c>
      <c r="J89" s="15"/>
      <c r="K89" s="15"/>
      <c r="L89" s="15"/>
      <c r="M89" s="15"/>
      <c r="N89" s="15"/>
      <c r="O89" s="15">
        <f>SUM(J89:N89)</f>
        <v>0</v>
      </c>
      <c r="P89" s="15"/>
      <c r="Q89" s="95"/>
      <c r="R89" s="15"/>
      <c r="S89" s="15"/>
      <c r="T89" s="17">
        <v>0</v>
      </c>
      <c r="U89" s="73">
        <f t="shared" si="16"/>
        <v>0</v>
      </c>
    </row>
    <row r="90" spans="1:26" hidden="1">
      <c r="A90" s="117">
        <v>1121</v>
      </c>
      <c r="B90" s="56"/>
      <c r="C90" s="56"/>
      <c r="D90" s="56"/>
      <c r="E90" s="16" t="s">
        <v>130</v>
      </c>
      <c r="F90" s="16"/>
      <c r="G90" s="15">
        <v>984</v>
      </c>
      <c r="H90" s="15">
        <v>5</v>
      </c>
      <c r="I90" s="15">
        <v>23186</v>
      </c>
      <c r="J90" s="31">
        <v>40809</v>
      </c>
      <c r="K90" s="15"/>
      <c r="L90" s="15"/>
      <c r="M90" s="15"/>
      <c r="N90" s="15"/>
      <c r="O90" s="17">
        <f t="shared" ref="O90:O115" si="18">SUM(J90:N90)</f>
        <v>40809</v>
      </c>
      <c r="P90" s="15"/>
      <c r="Q90" s="95"/>
      <c r="R90" s="15"/>
      <c r="S90" s="15"/>
      <c r="T90" s="17">
        <v>40809</v>
      </c>
      <c r="U90" s="73">
        <f t="shared" si="16"/>
        <v>17623</v>
      </c>
      <c r="Y90" s="76">
        <f t="shared" si="7"/>
        <v>0.7600707323384801</v>
      </c>
    </row>
    <row r="91" spans="1:26" hidden="1">
      <c r="A91" s="117"/>
      <c r="B91" s="56"/>
      <c r="C91" s="56"/>
      <c r="D91" s="56"/>
      <c r="E91" s="16" t="s">
        <v>131</v>
      </c>
      <c r="F91" s="16"/>
      <c r="G91" s="15">
        <v>425379</v>
      </c>
      <c r="H91" s="15">
        <v>428916</v>
      </c>
      <c r="I91" s="15">
        <v>0</v>
      </c>
      <c r="J91" s="31"/>
      <c r="K91" s="15"/>
      <c r="L91" s="15"/>
      <c r="M91" s="15"/>
      <c r="N91" s="15"/>
      <c r="O91" s="17">
        <f t="shared" si="18"/>
        <v>0</v>
      </c>
      <c r="P91" s="15"/>
      <c r="Q91" s="95"/>
      <c r="R91" s="19"/>
      <c r="S91" s="19"/>
      <c r="T91" s="17">
        <v>0</v>
      </c>
      <c r="U91" s="73">
        <f t="shared" si="16"/>
        <v>0</v>
      </c>
    </row>
    <row r="92" spans="1:26" hidden="1">
      <c r="A92" s="117">
        <v>2231</v>
      </c>
      <c r="B92" s="56"/>
      <c r="C92" s="56"/>
      <c r="D92" s="56"/>
      <c r="E92" s="16"/>
      <c r="F92" s="16" t="s">
        <v>190</v>
      </c>
      <c r="G92" s="15"/>
      <c r="H92" s="15"/>
      <c r="I92" s="15">
        <v>19932</v>
      </c>
      <c r="J92" s="31">
        <v>20708</v>
      </c>
      <c r="K92" s="15"/>
      <c r="L92" s="15"/>
      <c r="M92" s="15"/>
      <c r="N92" s="15"/>
      <c r="O92" s="17">
        <f t="shared" si="18"/>
        <v>20708</v>
      </c>
      <c r="P92" s="15"/>
      <c r="Q92" s="95"/>
      <c r="R92" s="19"/>
      <c r="S92" s="19"/>
      <c r="T92" s="17">
        <v>20708</v>
      </c>
      <c r="U92" s="73">
        <f t="shared" si="16"/>
        <v>776</v>
      </c>
      <c r="Y92" s="76">
        <f t="shared" si="7"/>
        <v>3.8932370058197871E-2</v>
      </c>
    </row>
    <row r="93" spans="1:26" hidden="1">
      <c r="A93" s="123">
        <v>2232</v>
      </c>
      <c r="B93" s="56"/>
      <c r="C93" s="56"/>
      <c r="D93" s="56"/>
      <c r="E93" s="16"/>
      <c r="F93" s="16" t="s">
        <v>465</v>
      </c>
      <c r="G93" s="15"/>
      <c r="H93" s="15"/>
      <c r="I93" s="15">
        <v>45</v>
      </c>
      <c r="J93" s="31">
        <v>0</v>
      </c>
      <c r="K93" s="15"/>
      <c r="L93" s="15"/>
      <c r="M93" s="15"/>
      <c r="N93" s="15"/>
      <c r="O93" s="17">
        <f t="shared" si="18"/>
        <v>0</v>
      </c>
      <c r="P93" s="15"/>
      <c r="Q93" s="95"/>
      <c r="R93" s="19"/>
      <c r="S93" s="19"/>
      <c r="T93" s="17">
        <v>0</v>
      </c>
      <c r="U93" s="73">
        <f t="shared" si="16"/>
        <v>-45</v>
      </c>
      <c r="Y93" s="76">
        <f t="shared" si="7"/>
        <v>-1</v>
      </c>
    </row>
    <row r="94" spans="1:26" hidden="1">
      <c r="A94" s="117">
        <v>2233</v>
      </c>
      <c r="B94" s="56"/>
      <c r="C94" s="56"/>
      <c r="D94" s="56"/>
      <c r="E94" s="16"/>
      <c r="F94" s="16" t="s">
        <v>191</v>
      </c>
      <c r="G94" s="15"/>
      <c r="H94" s="15"/>
      <c r="I94" s="15">
        <v>2057</v>
      </c>
      <c r="J94" s="31">
        <v>1275</v>
      </c>
      <c r="K94" s="15"/>
      <c r="L94" s="15"/>
      <c r="M94" s="15"/>
      <c r="N94" s="15"/>
      <c r="O94" s="17">
        <f t="shared" si="18"/>
        <v>1275</v>
      </c>
      <c r="P94" s="15"/>
      <c r="Q94" s="95"/>
      <c r="R94" s="19"/>
      <c r="S94" s="19"/>
      <c r="T94" s="17">
        <v>1275</v>
      </c>
      <c r="U94" s="73">
        <f t="shared" si="16"/>
        <v>-782</v>
      </c>
      <c r="Y94" s="76">
        <f t="shared" si="7"/>
        <v>-0.38016528925619836</v>
      </c>
    </row>
    <row r="95" spans="1:26" hidden="1">
      <c r="A95" s="117">
        <v>2234</v>
      </c>
      <c r="B95" s="56"/>
      <c r="C95" s="56"/>
      <c r="D95" s="56"/>
      <c r="E95" s="16"/>
      <c r="F95" s="16" t="s">
        <v>192</v>
      </c>
      <c r="G95" s="15"/>
      <c r="H95" s="15"/>
      <c r="I95" s="15">
        <v>-10</v>
      </c>
      <c r="J95" s="31">
        <v>0</v>
      </c>
      <c r="K95" s="15"/>
      <c r="L95" s="15"/>
      <c r="M95" s="15"/>
      <c r="N95" s="15"/>
      <c r="O95" s="17">
        <f t="shared" si="18"/>
        <v>0</v>
      </c>
      <c r="P95" s="15"/>
      <c r="Q95" s="95"/>
      <c r="R95" s="19"/>
      <c r="S95" s="19"/>
      <c r="T95" s="17">
        <v>0</v>
      </c>
      <c r="U95" s="73">
        <f t="shared" si="16"/>
        <v>10</v>
      </c>
      <c r="Y95" s="76">
        <f t="shared" si="7"/>
        <v>-1</v>
      </c>
    </row>
    <row r="96" spans="1:26" hidden="1">
      <c r="A96" s="118" t="s">
        <v>458</v>
      </c>
      <c r="B96" s="56"/>
      <c r="C96" s="56"/>
      <c r="D96" s="56"/>
      <c r="E96" s="16"/>
      <c r="F96" s="16" t="s">
        <v>459</v>
      </c>
      <c r="G96" s="15"/>
      <c r="H96" s="15"/>
      <c r="I96" s="15">
        <v>0</v>
      </c>
      <c r="J96" s="31"/>
      <c r="K96" s="15"/>
      <c r="L96" s="15"/>
      <c r="M96" s="15"/>
      <c r="N96" s="15"/>
      <c r="O96" s="17">
        <f t="shared" si="18"/>
        <v>0</v>
      </c>
      <c r="P96" s="15"/>
      <c r="Q96" s="95"/>
      <c r="R96" s="19"/>
      <c r="S96" s="19"/>
      <c r="T96" s="17">
        <v>0</v>
      </c>
      <c r="U96" s="73">
        <f t="shared" si="16"/>
        <v>0</v>
      </c>
    </row>
    <row r="97" spans="1:26" hidden="1">
      <c r="A97" s="117">
        <v>2237</v>
      </c>
      <c r="B97" s="56"/>
      <c r="C97" s="56"/>
      <c r="D97" s="56"/>
      <c r="E97" s="16"/>
      <c r="F97" s="16" t="s">
        <v>193</v>
      </c>
      <c r="G97" s="15"/>
      <c r="H97" s="15"/>
      <c r="I97" s="15">
        <v>380377</v>
      </c>
      <c r="J97" s="31">
        <v>380332</v>
      </c>
      <c r="K97" s="15"/>
      <c r="L97" s="15"/>
      <c r="M97" s="15"/>
      <c r="N97" s="15"/>
      <c r="O97" s="17">
        <f t="shared" si="18"/>
        <v>380332</v>
      </c>
      <c r="P97" s="15"/>
      <c r="Q97" s="95"/>
      <c r="R97" s="19"/>
      <c r="S97" s="19"/>
      <c r="T97" s="17">
        <v>380332</v>
      </c>
      <c r="U97" s="73">
        <f t="shared" si="16"/>
        <v>-45</v>
      </c>
      <c r="Y97" s="76">
        <f t="shared" si="7"/>
        <v>-1.1830368292509799E-4</v>
      </c>
    </row>
    <row r="98" spans="1:26" hidden="1">
      <c r="A98" s="117">
        <v>2238</v>
      </c>
      <c r="B98" s="56"/>
      <c r="C98" s="56"/>
      <c r="D98" s="56"/>
      <c r="E98" s="16"/>
      <c r="F98" s="16" t="s">
        <v>194</v>
      </c>
      <c r="G98" s="15"/>
      <c r="H98" s="15"/>
      <c r="I98" s="15">
        <v>31438</v>
      </c>
      <c r="J98" s="31">
        <v>11637</v>
      </c>
      <c r="K98" s="15"/>
      <c r="L98" s="15"/>
      <c r="M98" s="15"/>
      <c r="N98" s="15"/>
      <c r="O98" s="17">
        <f t="shared" si="18"/>
        <v>11637</v>
      </c>
      <c r="P98" s="15"/>
      <c r="Q98" s="95"/>
      <c r="R98" s="19"/>
      <c r="S98" s="19"/>
      <c r="T98" s="17">
        <v>11637</v>
      </c>
      <c r="U98" s="73">
        <f t="shared" si="16"/>
        <v>-19801</v>
      </c>
      <c r="Y98" s="76">
        <f t="shared" si="7"/>
        <v>-0.62984286532222156</v>
      </c>
    </row>
    <row r="99" spans="1:26" hidden="1">
      <c r="A99" s="124">
        <v>2321</v>
      </c>
      <c r="B99" s="56"/>
      <c r="C99" s="56"/>
      <c r="D99" s="56"/>
      <c r="E99" s="16" t="s">
        <v>132</v>
      </c>
      <c r="F99" s="16"/>
      <c r="G99" s="15">
        <v>1445244</v>
      </c>
      <c r="H99" s="15">
        <v>1637582</v>
      </c>
      <c r="I99" s="15">
        <v>1654381</v>
      </c>
      <c r="J99" s="31">
        <v>26</v>
      </c>
      <c r="K99" s="15"/>
      <c r="L99" s="15"/>
      <c r="M99" s="15"/>
      <c r="N99" s="15"/>
      <c r="O99" s="17">
        <f t="shared" si="18"/>
        <v>26</v>
      </c>
      <c r="P99" s="15"/>
      <c r="Q99" s="95"/>
      <c r="R99" s="15"/>
      <c r="S99" s="15"/>
      <c r="T99" s="17">
        <v>26</v>
      </c>
      <c r="U99" s="73">
        <f t="shared" si="16"/>
        <v>-1654355</v>
      </c>
      <c r="Y99" s="76">
        <f t="shared" si="7"/>
        <v>-0.99998428415219953</v>
      </c>
    </row>
    <row r="100" spans="1:26" hidden="1">
      <c r="A100" s="125">
        <v>2356</v>
      </c>
      <c r="B100" s="56"/>
      <c r="C100" s="56"/>
      <c r="D100" s="56"/>
      <c r="E100" s="16" t="s">
        <v>466</v>
      </c>
      <c r="F100" s="16"/>
      <c r="G100" s="15"/>
      <c r="H100" s="15"/>
      <c r="I100" s="15">
        <v>10</v>
      </c>
      <c r="J100" s="31">
        <v>2080753</v>
      </c>
      <c r="K100" s="15"/>
      <c r="L100" s="15"/>
      <c r="M100" s="15"/>
      <c r="N100" s="15"/>
      <c r="O100" s="17">
        <f t="shared" si="18"/>
        <v>2080753</v>
      </c>
      <c r="P100" s="15"/>
      <c r="Q100" s="95" t="s">
        <v>25</v>
      </c>
      <c r="R100" s="15">
        <f>1792</f>
        <v>1792</v>
      </c>
      <c r="S100" s="15"/>
      <c r="T100" s="17">
        <v>2082545</v>
      </c>
      <c r="U100" s="73">
        <f t="shared" si="16"/>
        <v>2082535</v>
      </c>
      <c r="Y100" s="76">
        <f t="shared" si="7"/>
        <v>208253.5</v>
      </c>
    </row>
    <row r="101" spans="1:26" ht="32" hidden="1">
      <c r="A101" s="117">
        <v>2369</v>
      </c>
      <c r="B101" s="56"/>
      <c r="C101" s="56"/>
      <c r="D101" s="56"/>
      <c r="E101" s="16" t="s">
        <v>133</v>
      </c>
      <c r="F101" s="16"/>
      <c r="G101" s="15">
        <v>2126568</v>
      </c>
      <c r="H101" s="15">
        <v>1771830</v>
      </c>
      <c r="I101" s="15">
        <v>923158</v>
      </c>
      <c r="J101" s="31">
        <v>683375</v>
      </c>
      <c r="K101" s="15"/>
      <c r="L101" s="15"/>
      <c r="M101" s="15"/>
      <c r="N101" s="15"/>
      <c r="O101" s="17">
        <f t="shared" si="18"/>
        <v>683375</v>
      </c>
      <c r="P101" s="15"/>
      <c r="Q101" s="95"/>
      <c r="R101" s="15"/>
      <c r="S101" s="15"/>
      <c r="T101" s="17">
        <v>683375</v>
      </c>
      <c r="U101" s="73">
        <f t="shared" si="16"/>
        <v>-239783</v>
      </c>
      <c r="Y101" s="76">
        <f t="shared" si="7"/>
        <v>-0.25974210265198372</v>
      </c>
      <c r="Z101" s="83" t="s">
        <v>7</v>
      </c>
    </row>
    <row r="102" spans="1:26" hidden="1">
      <c r="A102" s="123">
        <v>2291</v>
      </c>
      <c r="B102" s="56"/>
      <c r="C102" s="56"/>
      <c r="D102" s="56"/>
      <c r="E102" s="16" t="s">
        <v>467</v>
      </c>
      <c r="F102" s="16"/>
      <c r="G102" s="15"/>
      <c r="H102" s="15"/>
      <c r="I102" s="15">
        <v>1</v>
      </c>
      <c r="J102" s="31">
        <v>0</v>
      </c>
      <c r="K102" s="15"/>
      <c r="L102" s="15"/>
      <c r="M102" s="15"/>
      <c r="N102" s="15"/>
      <c r="O102" s="17">
        <f t="shared" si="18"/>
        <v>0</v>
      </c>
      <c r="P102" s="15"/>
      <c r="Q102" s="95"/>
      <c r="R102" s="15"/>
      <c r="S102" s="15"/>
      <c r="T102" s="17">
        <v>0</v>
      </c>
      <c r="U102" s="73">
        <f t="shared" si="16"/>
        <v>-1</v>
      </c>
      <c r="Y102" s="76">
        <f t="shared" ref="Y102:Y164" si="19">U102/I102</f>
        <v>-1</v>
      </c>
    </row>
    <row r="103" spans="1:26" hidden="1">
      <c r="A103" s="118" t="s">
        <v>460</v>
      </c>
      <c r="B103" s="56"/>
      <c r="C103" s="56"/>
      <c r="D103" s="56"/>
      <c r="E103" s="16" t="s">
        <v>195</v>
      </c>
      <c r="G103" s="15">
        <v>946735</v>
      </c>
      <c r="H103" s="15">
        <v>1144603</v>
      </c>
      <c r="I103" s="15">
        <v>494028</v>
      </c>
      <c r="J103" s="31">
        <v>428760</v>
      </c>
      <c r="K103" s="15"/>
      <c r="L103" s="15"/>
      <c r="M103" s="15"/>
      <c r="N103" s="15"/>
      <c r="O103" s="17">
        <f t="shared" si="18"/>
        <v>428760</v>
      </c>
      <c r="P103" s="15"/>
      <c r="Q103" s="95"/>
      <c r="R103" s="15"/>
      <c r="S103" s="15"/>
      <c r="T103" s="17">
        <v>428760</v>
      </c>
      <c r="U103" s="73">
        <f t="shared" si="16"/>
        <v>-65268</v>
      </c>
      <c r="Y103" s="76">
        <f t="shared" si="19"/>
        <v>-0.13211396924870655</v>
      </c>
      <c r="Z103" s="89" t="s">
        <v>8</v>
      </c>
    </row>
    <row r="104" spans="1:26" hidden="1">
      <c r="A104" s="118" t="s">
        <v>461</v>
      </c>
      <c r="B104" s="56"/>
      <c r="C104" s="56"/>
      <c r="D104" s="56"/>
      <c r="E104" s="16" t="s">
        <v>196</v>
      </c>
      <c r="G104" s="15"/>
      <c r="H104" s="15"/>
      <c r="I104" s="15">
        <v>476046</v>
      </c>
      <c r="J104" s="31">
        <v>643543</v>
      </c>
      <c r="K104" s="15"/>
      <c r="L104" s="15"/>
      <c r="M104" s="15"/>
      <c r="N104" s="15"/>
      <c r="O104" s="17">
        <f t="shared" si="18"/>
        <v>643543</v>
      </c>
      <c r="P104" s="15">
        <f>5566</f>
        <v>5566</v>
      </c>
      <c r="Q104" s="95" t="s">
        <v>25</v>
      </c>
      <c r="R104" s="15"/>
      <c r="S104" s="15"/>
      <c r="T104" s="17">
        <v>637977</v>
      </c>
      <c r="U104" s="73">
        <f t="shared" si="16"/>
        <v>161931</v>
      </c>
      <c r="Y104" s="76">
        <f t="shared" si="19"/>
        <v>0.34015830402944253</v>
      </c>
      <c r="Z104" s="89" t="s">
        <v>8</v>
      </c>
    </row>
    <row r="105" spans="1:26" hidden="1">
      <c r="A105" s="117" t="s">
        <v>134</v>
      </c>
      <c r="B105" s="56"/>
      <c r="C105" s="56"/>
      <c r="D105" s="56"/>
      <c r="E105" s="16" t="s">
        <v>135</v>
      </c>
      <c r="F105" s="16"/>
      <c r="G105" s="15"/>
      <c r="H105" s="15">
        <v>2249</v>
      </c>
      <c r="I105" s="15">
        <v>0</v>
      </c>
      <c r="J105" s="31">
        <v>0</v>
      </c>
      <c r="K105" s="15"/>
      <c r="L105" s="15"/>
      <c r="M105" s="15"/>
      <c r="N105" s="15"/>
      <c r="O105" s="17">
        <f t="shared" si="18"/>
        <v>0</v>
      </c>
      <c r="P105" s="15"/>
      <c r="Q105" s="95"/>
      <c r="R105" s="15"/>
      <c r="S105" s="15"/>
      <c r="T105" s="17">
        <v>0</v>
      </c>
      <c r="U105" s="73">
        <f t="shared" si="16"/>
        <v>0</v>
      </c>
    </row>
    <row r="106" spans="1:26" hidden="1">
      <c r="A106" s="117">
        <v>2646</v>
      </c>
      <c r="B106" s="56"/>
      <c r="C106" s="56"/>
      <c r="D106" s="56"/>
      <c r="E106" s="16" t="s">
        <v>136</v>
      </c>
      <c r="F106" s="16"/>
      <c r="G106" s="15">
        <v>1000</v>
      </c>
      <c r="H106" s="15"/>
      <c r="I106" s="15">
        <v>8000</v>
      </c>
      <c r="J106" s="31">
        <v>0</v>
      </c>
      <c r="K106" s="15"/>
      <c r="L106" s="15"/>
      <c r="M106" s="15"/>
      <c r="N106" s="15"/>
      <c r="O106" s="17">
        <f t="shared" si="18"/>
        <v>0</v>
      </c>
      <c r="P106" s="15"/>
      <c r="Q106" s="95"/>
      <c r="R106" s="15"/>
      <c r="S106" s="15"/>
      <c r="T106" s="17">
        <v>0</v>
      </c>
      <c r="U106" s="73">
        <f t="shared" si="16"/>
        <v>-8000</v>
      </c>
      <c r="Y106" s="76">
        <f t="shared" si="19"/>
        <v>-1</v>
      </c>
    </row>
    <row r="107" spans="1:26" hidden="1">
      <c r="A107" s="117" t="s">
        <v>137</v>
      </c>
      <c r="B107" s="56"/>
      <c r="C107" s="56"/>
      <c r="D107" s="56"/>
      <c r="E107" s="16" t="s">
        <v>138</v>
      </c>
      <c r="F107" s="16"/>
      <c r="G107" s="15">
        <v>123528</v>
      </c>
      <c r="H107" s="15">
        <v>111290</v>
      </c>
      <c r="I107" s="15">
        <v>109320</v>
      </c>
      <c r="J107" s="31">
        <v>169750</v>
      </c>
      <c r="K107" s="15"/>
      <c r="L107" s="15"/>
      <c r="M107" s="15"/>
      <c r="N107" s="15"/>
      <c r="O107" s="17">
        <f t="shared" si="18"/>
        <v>169750</v>
      </c>
      <c r="P107" s="15"/>
      <c r="Q107" s="95"/>
      <c r="R107" s="15"/>
      <c r="S107" s="15"/>
      <c r="T107" s="17">
        <v>169750</v>
      </c>
      <c r="U107" s="73">
        <f t="shared" si="16"/>
        <v>60430</v>
      </c>
      <c r="Y107" s="76">
        <f t="shared" si="19"/>
        <v>0.55278082693011343</v>
      </c>
    </row>
    <row r="108" spans="1:26" hidden="1">
      <c r="A108" s="123">
        <v>2653</v>
      </c>
      <c r="B108" s="56"/>
      <c r="C108" s="56"/>
      <c r="D108" s="56"/>
      <c r="E108" s="16" t="s">
        <v>468</v>
      </c>
      <c r="F108" s="16"/>
      <c r="G108" s="15"/>
      <c r="H108" s="15"/>
      <c r="I108" s="15">
        <v>15</v>
      </c>
      <c r="J108" s="31">
        <v>260</v>
      </c>
      <c r="K108" s="15"/>
      <c r="L108" s="15"/>
      <c r="M108" s="15"/>
      <c r="N108" s="15"/>
      <c r="O108" s="17">
        <f t="shared" si="18"/>
        <v>260</v>
      </c>
      <c r="P108" s="15"/>
      <c r="Q108" s="95"/>
      <c r="R108" s="15"/>
      <c r="S108" s="15"/>
      <c r="T108" s="17">
        <v>260</v>
      </c>
      <c r="U108" s="73">
        <f t="shared" si="16"/>
        <v>245</v>
      </c>
      <c r="Y108" s="76">
        <f t="shared" si="19"/>
        <v>16.333333333333332</v>
      </c>
    </row>
    <row r="109" spans="1:26" hidden="1">
      <c r="A109" s="117">
        <v>2655</v>
      </c>
      <c r="B109" s="59"/>
      <c r="C109" s="59"/>
      <c r="D109" s="59"/>
      <c r="E109" s="111" t="s">
        <v>139</v>
      </c>
      <c r="F109" s="111"/>
      <c r="G109" s="15">
        <v>1334989</v>
      </c>
      <c r="H109" s="15">
        <v>2259216</v>
      </c>
      <c r="I109" s="15">
        <v>1703650</v>
      </c>
      <c r="J109" s="31">
        <v>359704</v>
      </c>
      <c r="K109" s="15"/>
      <c r="L109" s="15"/>
      <c r="M109" s="15"/>
      <c r="N109" s="15"/>
      <c r="O109" s="17">
        <f t="shared" si="18"/>
        <v>359704</v>
      </c>
      <c r="P109" s="15">
        <f>321517+4601</f>
        <v>326118</v>
      </c>
      <c r="Q109" s="95" t="s">
        <v>2</v>
      </c>
      <c r="R109" s="15">
        <f>1600000+27500</f>
        <v>1627500</v>
      </c>
      <c r="S109" s="15"/>
      <c r="T109" s="17">
        <v>1661086</v>
      </c>
      <c r="U109" s="73">
        <f t="shared" si="16"/>
        <v>-42564</v>
      </c>
      <c r="Y109" s="76">
        <f t="shared" si="19"/>
        <v>-2.4984004930590203E-2</v>
      </c>
    </row>
    <row r="110" spans="1:26" hidden="1">
      <c r="A110" s="117" t="s">
        <v>140</v>
      </c>
      <c r="B110" s="56"/>
      <c r="C110" s="56"/>
      <c r="D110" s="56"/>
      <c r="E110" s="16" t="s">
        <v>141</v>
      </c>
      <c r="F110" s="16"/>
      <c r="G110" s="15">
        <v>473358</v>
      </c>
      <c r="H110" s="15">
        <v>2518327.35</v>
      </c>
      <c r="I110" s="15">
        <v>679224</v>
      </c>
      <c r="J110" s="31">
        <v>1236082</v>
      </c>
      <c r="K110" s="15"/>
      <c r="L110" s="15"/>
      <c r="M110" s="15"/>
      <c r="N110" s="15"/>
      <c r="O110" s="17">
        <f t="shared" si="18"/>
        <v>1236082</v>
      </c>
      <c r="P110" s="15">
        <f>494+825</f>
        <v>1319</v>
      </c>
      <c r="Q110" s="95" t="s">
        <v>376</v>
      </c>
      <c r="R110" s="15">
        <f>13200+223545</f>
        <v>236745</v>
      </c>
      <c r="S110" s="15"/>
      <c r="T110" s="17">
        <v>1471508</v>
      </c>
      <c r="U110" s="73">
        <f t="shared" si="16"/>
        <v>792284</v>
      </c>
      <c r="Y110" s="76">
        <f t="shared" si="19"/>
        <v>1.1664546600237919</v>
      </c>
      <c r="Z110" s="89" t="s">
        <v>8</v>
      </c>
    </row>
    <row r="111" spans="1:26" hidden="1">
      <c r="A111" s="117">
        <v>2659</v>
      </c>
      <c r="B111" s="56"/>
      <c r="C111" s="56"/>
      <c r="D111" s="56"/>
      <c r="E111" s="16" t="s">
        <v>142</v>
      </c>
      <c r="F111" s="16"/>
      <c r="G111" s="15">
        <v>62349</v>
      </c>
      <c r="H111" s="15">
        <v>191135</v>
      </c>
      <c r="I111" s="15">
        <v>21960</v>
      </c>
      <c r="J111" s="31">
        <v>92981</v>
      </c>
      <c r="K111" s="15"/>
      <c r="L111" s="15"/>
      <c r="M111" s="15"/>
      <c r="N111" s="15"/>
      <c r="O111" s="17">
        <f t="shared" si="18"/>
        <v>92981</v>
      </c>
      <c r="P111" s="19"/>
      <c r="Q111" s="95"/>
      <c r="R111" s="15"/>
      <c r="S111" s="15"/>
      <c r="T111" s="17">
        <v>92981</v>
      </c>
      <c r="U111" s="73">
        <f t="shared" si="16"/>
        <v>71021</v>
      </c>
      <c r="Y111" s="76">
        <f t="shared" si="19"/>
        <v>3.2341074681238617</v>
      </c>
      <c r="Z111" s="89" t="s">
        <v>8</v>
      </c>
    </row>
    <row r="112" spans="1:26" hidden="1">
      <c r="A112" s="117" t="s">
        <v>146</v>
      </c>
      <c r="B112" s="56"/>
      <c r="C112" s="56"/>
      <c r="D112" s="56"/>
      <c r="E112" s="16" t="s">
        <v>147</v>
      </c>
      <c r="F112" s="16"/>
      <c r="G112" s="15">
        <v>34832</v>
      </c>
      <c r="H112" s="15">
        <v>152630</v>
      </c>
      <c r="I112" s="15">
        <v>235300</v>
      </c>
      <c r="J112" s="31">
        <v>125261</v>
      </c>
      <c r="K112" s="15"/>
      <c r="L112" s="15"/>
      <c r="M112" s="15"/>
      <c r="N112" s="15"/>
      <c r="O112" s="15">
        <f t="shared" si="18"/>
        <v>125261</v>
      </c>
      <c r="P112" s="15"/>
      <c r="Q112" s="95"/>
      <c r="R112" s="15"/>
      <c r="S112" s="15"/>
      <c r="T112" s="17">
        <v>125261</v>
      </c>
      <c r="U112" s="73">
        <f t="shared" si="16"/>
        <v>-110039</v>
      </c>
      <c r="Y112" s="76">
        <f t="shared" si="19"/>
        <v>-0.46765405864853377</v>
      </c>
      <c r="Z112" s="89" t="s">
        <v>8</v>
      </c>
    </row>
    <row r="113" spans="1:32" hidden="1">
      <c r="A113" s="117" t="s">
        <v>148</v>
      </c>
      <c r="B113" s="56"/>
      <c r="C113" s="56"/>
      <c r="D113" s="56"/>
      <c r="E113" s="16" t="s">
        <v>149</v>
      </c>
      <c r="F113" s="16"/>
      <c r="G113" s="15">
        <v>461602</v>
      </c>
      <c r="H113" s="15">
        <v>516136</v>
      </c>
      <c r="I113" s="15">
        <v>496922</v>
      </c>
      <c r="J113" s="31">
        <v>515861</v>
      </c>
      <c r="K113" s="15"/>
      <c r="L113" s="15"/>
      <c r="M113" s="15"/>
      <c r="N113" s="15"/>
      <c r="O113" s="15">
        <f t="shared" si="18"/>
        <v>515861</v>
      </c>
      <c r="P113" s="15"/>
      <c r="Q113" s="95"/>
      <c r="R113" s="15"/>
      <c r="S113" s="15"/>
      <c r="T113" s="17">
        <v>515861</v>
      </c>
      <c r="U113" s="73">
        <f t="shared" si="16"/>
        <v>18939</v>
      </c>
      <c r="Y113" s="76">
        <f t="shared" si="19"/>
        <v>3.8112621296702502E-2</v>
      </c>
      <c r="Z113" s="89" t="s">
        <v>8</v>
      </c>
    </row>
    <row r="114" spans="1:32" hidden="1">
      <c r="A114" s="126">
        <v>2426</v>
      </c>
      <c r="B114" s="60"/>
      <c r="C114" s="60"/>
      <c r="D114" s="60"/>
      <c r="E114" s="16" t="s">
        <v>199</v>
      </c>
      <c r="F114" s="16"/>
      <c r="G114" s="15">
        <v>300</v>
      </c>
      <c r="H114" s="15">
        <v>306</v>
      </c>
      <c r="I114" s="15">
        <v>0</v>
      </c>
      <c r="J114" s="31"/>
      <c r="K114" s="15"/>
      <c r="L114" s="15"/>
      <c r="M114" s="15"/>
      <c r="N114" s="15"/>
      <c r="O114" s="15">
        <f t="shared" si="18"/>
        <v>0</v>
      </c>
      <c r="P114" s="15"/>
      <c r="Q114" s="95"/>
      <c r="R114" s="15"/>
      <c r="S114" s="15"/>
      <c r="T114" s="17">
        <v>0</v>
      </c>
      <c r="U114" s="73">
        <f t="shared" si="16"/>
        <v>0</v>
      </c>
      <c r="Z114" s="89" t="s">
        <v>8</v>
      </c>
    </row>
    <row r="115" spans="1:32" hidden="1">
      <c r="A115" s="117">
        <v>2654</v>
      </c>
      <c r="B115" s="56"/>
      <c r="C115" s="56"/>
      <c r="D115" s="56"/>
      <c r="E115" s="111" t="s">
        <v>150</v>
      </c>
      <c r="F115" s="111"/>
      <c r="G115" s="25">
        <v>-250203</v>
      </c>
      <c r="H115" s="15">
        <v>55181</v>
      </c>
      <c r="I115" s="15">
        <v>-1669.75</v>
      </c>
      <c r="J115" s="31">
        <v>3797276</v>
      </c>
      <c r="K115" s="15"/>
      <c r="L115" s="15"/>
      <c r="M115" s="15"/>
      <c r="N115" s="15"/>
      <c r="O115" s="15">
        <f t="shared" si="18"/>
        <v>3797276</v>
      </c>
      <c r="P115" s="15">
        <f>6985+15863+163335+225127</f>
        <v>411310</v>
      </c>
      <c r="Q115" s="95" t="s">
        <v>25</v>
      </c>
      <c r="R115" s="15"/>
      <c r="S115" s="15"/>
      <c r="T115" s="17">
        <v>3385966</v>
      </c>
      <c r="U115" s="73">
        <f t="shared" si="16"/>
        <v>3387635.75</v>
      </c>
      <c r="Y115" s="76">
        <f t="shared" si="19"/>
        <v>-2028.8281179817338</v>
      </c>
      <c r="Z115" s="89" t="s">
        <v>8</v>
      </c>
    </row>
    <row r="116" spans="1:32" hidden="1">
      <c r="A116" s="117"/>
      <c r="B116" s="16"/>
      <c r="C116" s="16"/>
      <c r="D116" s="1" t="s">
        <v>198</v>
      </c>
      <c r="G116" s="35">
        <f>+SUM(G89:G115)</f>
        <v>7188582</v>
      </c>
      <c r="H116" s="35">
        <f t="shared" ref="H116:R116" si="20">+SUM(H89:H115)</f>
        <v>10789406.35</v>
      </c>
      <c r="I116" s="35">
        <v>7257370.25</v>
      </c>
      <c r="J116" s="35">
        <f t="shared" si="20"/>
        <v>10588393</v>
      </c>
      <c r="K116" s="35">
        <f t="shared" si="20"/>
        <v>0</v>
      </c>
      <c r="L116" s="35">
        <f t="shared" si="20"/>
        <v>0</v>
      </c>
      <c r="M116" s="35">
        <f t="shared" si="20"/>
        <v>0</v>
      </c>
      <c r="N116" s="35">
        <f t="shared" si="20"/>
        <v>0</v>
      </c>
      <c r="O116" s="35">
        <f>+SUM(O89:O115)</f>
        <v>10588393</v>
      </c>
      <c r="P116" s="35">
        <f t="shared" si="20"/>
        <v>744313</v>
      </c>
      <c r="Q116" s="95"/>
      <c r="R116" s="35">
        <f t="shared" si="20"/>
        <v>1866037</v>
      </c>
      <c r="S116" s="35"/>
      <c r="T116" s="21">
        <v>11710117</v>
      </c>
      <c r="U116" s="73">
        <f t="shared" si="16"/>
        <v>4452746.75</v>
      </c>
      <c r="Y116" s="76">
        <f t="shared" si="19"/>
        <v>0.61354824083833948</v>
      </c>
    </row>
    <row r="117" spans="1:32" s="8" customFormat="1" hidden="1">
      <c r="A117" s="116"/>
      <c r="B117" s="4"/>
      <c r="C117" s="4"/>
      <c r="D117" s="4"/>
      <c r="F117" s="41" t="s">
        <v>178</v>
      </c>
      <c r="G117" s="35">
        <f>+G72+G74+G76+G77+G78+G79+G80+G81+G87+G116-5</f>
        <v>131402865</v>
      </c>
      <c r="H117" s="35">
        <f t="shared" ref="H117:N117" si="21">+H72+H74+H76+H77+H78+H79+H80+H81+H87+H116</f>
        <v>150339225.44</v>
      </c>
      <c r="I117" s="35">
        <v>148775530.25</v>
      </c>
      <c r="J117" s="35">
        <f>+J72+J74+J75+J76+J77+J78+J79+J80+J81+J87+J116</f>
        <v>173255602</v>
      </c>
      <c r="K117" s="35">
        <f t="shared" si="21"/>
        <v>0</v>
      </c>
      <c r="L117" s="35">
        <f t="shared" si="21"/>
        <v>0</v>
      </c>
      <c r="M117" s="35">
        <f t="shared" si="21"/>
        <v>0</v>
      </c>
      <c r="N117" s="35">
        <f t="shared" si="21"/>
        <v>0</v>
      </c>
      <c r="O117" s="35">
        <f>+O72+O74+O76+O77+O78+O79+O80+O81+O87+O116+O75</f>
        <v>173255602</v>
      </c>
      <c r="P117" s="35">
        <f>+P72+P74+P76+P77+P78+P79+P80+P81+P87+P116+P75</f>
        <v>12974545</v>
      </c>
      <c r="Q117" s="95"/>
      <c r="R117" s="35">
        <f>+R72+R74+R76+R77+R78+R79+R80+R81+R87+R116</f>
        <v>5951069</v>
      </c>
      <c r="S117" s="35"/>
      <c r="T117" s="21">
        <v>166232126</v>
      </c>
      <c r="U117" s="107">
        <f t="shared" si="16"/>
        <v>17456595.75</v>
      </c>
      <c r="Y117" s="81">
        <f t="shared" si="19"/>
        <v>0.11733512709157358</v>
      </c>
      <c r="Z117" s="90"/>
      <c r="AA117" s="11"/>
      <c r="AB117" s="11"/>
      <c r="AC117" s="11"/>
      <c r="AD117" s="11"/>
      <c r="AE117" s="11"/>
      <c r="AF117" s="11"/>
    </row>
    <row r="118" spans="1:32" hidden="1">
      <c r="A118" s="117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95"/>
      <c r="R118" s="17"/>
      <c r="S118" s="17"/>
      <c r="T118" s="17"/>
      <c r="U118" s="73">
        <f>T118-H118</f>
        <v>0</v>
      </c>
    </row>
    <row r="119" spans="1:32" hidden="1">
      <c r="A119" s="117"/>
      <c r="B119" s="54" t="s">
        <v>201</v>
      </c>
      <c r="C119" s="16"/>
      <c r="D119" s="16"/>
      <c r="F119" s="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95"/>
      <c r="R119" s="15"/>
      <c r="S119" s="15"/>
      <c r="T119" s="17"/>
      <c r="U119" s="73">
        <f>T119-H119</f>
        <v>0</v>
      </c>
    </row>
    <row r="120" spans="1:32" hidden="1">
      <c r="A120" s="117"/>
      <c r="B120" s="61" t="s">
        <v>100</v>
      </c>
      <c r="D120" s="16"/>
      <c r="F120" s="62"/>
      <c r="G120" s="15">
        <v>116622006</v>
      </c>
      <c r="H120" s="15">
        <v>128448914</v>
      </c>
      <c r="I120" s="15">
        <v>0</v>
      </c>
      <c r="J120" s="15"/>
      <c r="K120" s="15"/>
      <c r="L120" s="22"/>
      <c r="M120" s="22"/>
      <c r="N120" s="22"/>
      <c r="O120" s="17">
        <f t="shared" ref="O120:O182" si="22">SUM(J120:N120)</f>
        <v>0</v>
      </c>
      <c r="P120" s="19"/>
      <c r="Q120" s="95"/>
      <c r="R120" s="15"/>
      <c r="S120" s="15"/>
      <c r="T120" s="17">
        <v>0</v>
      </c>
      <c r="U120" s="73">
        <f t="shared" ref="U120:U183" si="23">T120-I120</f>
        <v>0</v>
      </c>
    </row>
    <row r="121" spans="1:32" hidden="1">
      <c r="A121" s="117">
        <v>4111</v>
      </c>
      <c r="B121" s="16"/>
      <c r="C121" s="16"/>
      <c r="D121" s="62" t="s">
        <v>202</v>
      </c>
      <c r="E121" s="62"/>
      <c r="G121" s="15"/>
      <c r="H121" s="15"/>
      <c r="I121" s="15">
        <v>67051664</v>
      </c>
      <c r="J121" s="15">
        <v>70306309</v>
      </c>
      <c r="K121" s="15"/>
      <c r="L121" s="22"/>
      <c r="M121" s="22"/>
      <c r="N121" s="22"/>
      <c r="O121" s="17">
        <f t="shared" si="22"/>
        <v>70306309</v>
      </c>
      <c r="P121" s="15"/>
      <c r="Q121" s="95"/>
      <c r="R121" s="15"/>
      <c r="S121" s="15"/>
      <c r="T121" s="17">
        <v>70306309</v>
      </c>
      <c r="U121" s="73">
        <f t="shared" si="23"/>
        <v>3254645</v>
      </c>
      <c r="Y121" s="76">
        <f t="shared" si="19"/>
        <v>4.8539362125300869E-2</v>
      </c>
    </row>
    <row r="122" spans="1:32" hidden="1">
      <c r="A122" s="117">
        <v>4112</v>
      </c>
      <c r="B122" s="16"/>
      <c r="C122" s="16"/>
      <c r="D122" s="62" t="s">
        <v>203</v>
      </c>
      <c r="E122" s="62"/>
      <c r="G122" s="15"/>
      <c r="H122" s="15"/>
      <c r="I122" s="15">
        <v>2117776</v>
      </c>
      <c r="J122" s="15">
        <v>2212304</v>
      </c>
      <c r="K122" s="15"/>
      <c r="L122" s="22"/>
      <c r="M122" s="22"/>
      <c r="N122" s="22"/>
      <c r="O122" s="17">
        <f t="shared" si="22"/>
        <v>2212304</v>
      </c>
      <c r="P122" s="19"/>
      <c r="Q122" s="95"/>
      <c r="R122" s="15"/>
      <c r="S122" s="15"/>
      <c r="T122" s="17">
        <v>2212304</v>
      </c>
      <c r="U122" s="73">
        <f t="shared" si="23"/>
        <v>94528</v>
      </c>
      <c r="Y122" s="76">
        <f t="shared" si="19"/>
        <v>4.4635504415953341E-2</v>
      </c>
    </row>
    <row r="123" spans="1:32" hidden="1">
      <c r="A123" s="117">
        <v>4113</v>
      </c>
      <c r="B123" s="16"/>
      <c r="C123" s="16"/>
      <c r="D123" s="62" t="s">
        <v>204</v>
      </c>
      <c r="E123" s="62"/>
      <c r="G123" s="15"/>
      <c r="H123" s="15"/>
      <c r="I123" s="15">
        <v>106474</v>
      </c>
      <c r="J123" s="15">
        <v>105156</v>
      </c>
      <c r="K123" s="15"/>
      <c r="L123" s="22"/>
      <c r="M123" s="22"/>
      <c r="N123" s="22"/>
      <c r="O123" s="17">
        <f t="shared" si="22"/>
        <v>105156</v>
      </c>
      <c r="P123" s="19"/>
      <c r="Q123" s="95"/>
      <c r="R123" s="15"/>
      <c r="S123" s="15"/>
      <c r="T123" s="17">
        <v>105156</v>
      </c>
      <c r="U123" s="73">
        <f t="shared" si="23"/>
        <v>-1318</v>
      </c>
      <c r="Y123" s="76">
        <f t="shared" si="19"/>
        <v>-1.2378608862257452E-2</v>
      </c>
    </row>
    <row r="124" spans="1:32" hidden="1">
      <c r="A124" s="117">
        <v>4114</v>
      </c>
      <c r="B124" s="16"/>
      <c r="C124" s="16"/>
      <c r="D124" s="62" t="s">
        <v>205</v>
      </c>
      <c r="E124" s="62"/>
      <c r="G124" s="15"/>
      <c r="H124" s="15"/>
      <c r="I124" s="15">
        <v>0</v>
      </c>
      <c r="J124" s="15">
        <v>4673</v>
      </c>
      <c r="K124" s="15"/>
      <c r="L124" s="22"/>
      <c r="M124" s="22"/>
      <c r="N124" s="22"/>
      <c r="O124" s="17">
        <f t="shared" si="22"/>
        <v>4673</v>
      </c>
      <c r="P124" s="19"/>
      <c r="Q124" s="95"/>
      <c r="R124" s="15"/>
      <c r="S124" s="15"/>
      <c r="T124" s="17">
        <v>4673</v>
      </c>
      <c r="U124" s="73">
        <f t="shared" si="23"/>
        <v>4673</v>
      </c>
    </row>
    <row r="125" spans="1:32" hidden="1">
      <c r="A125" s="117">
        <v>4115</v>
      </c>
      <c r="B125" s="16"/>
      <c r="C125" s="16"/>
      <c r="D125" s="62" t="s">
        <v>206</v>
      </c>
      <c r="E125" s="62"/>
      <c r="G125" s="15"/>
      <c r="H125" s="15"/>
      <c r="I125" s="15">
        <v>201922</v>
      </c>
      <c r="J125" s="15">
        <v>240632</v>
      </c>
      <c r="K125" s="15"/>
      <c r="L125" s="22"/>
      <c r="M125" s="22"/>
      <c r="N125" s="22"/>
      <c r="O125" s="17">
        <f t="shared" si="22"/>
        <v>240632</v>
      </c>
      <c r="P125" s="19"/>
      <c r="Q125" s="95"/>
      <c r="R125" s="15"/>
      <c r="S125" s="15"/>
      <c r="T125" s="17">
        <v>240632</v>
      </c>
      <c r="U125" s="73">
        <f t="shared" si="23"/>
        <v>38710</v>
      </c>
      <c r="Y125" s="76">
        <f t="shared" si="19"/>
        <v>0.19170768910767524</v>
      </c>
    </row>
    <row r="126" spans="1:32" hidden="1">
      <c r="A126" s="117">
        <v>4116</v>
      </c>
      <c r="B126" s="16"/>
      <c r="C126" s="16"/>
      <c r="D126" s="62" t="s">
        <v>207</v>
      </c>
      <c r="E126" s="62"/>
      <c r="G126" s="15"/>
      <c r="H126" s="15"/>
      <c r="I126" s="15">
        <v>921658</v>
      </c>
      <c r="J126" s="15">
        <v>932951</v>
      </c>
      <c r="K126" s="15"/>
      <c r="L126" s="22"/>
      <c r="M126" s="22"/>
      <c r="N126" s="22"/>
      <c r="O126" s="17">
        <f t="shared" si="22"/>
        <v>932951</v>
      </c>
      <c r="P126" s="19"/>
      <c r="Q126" s="95"/>
      <c r="R126" s="15"/>
      <c r="S126" s="15"/>
      <c r="T126" s="17">
        <v>932951</v>
      </c>
      <c r="U126" s="73">
        <f t="shared" si="23"/>
        <v>11293</v>
      </c>
      <c r="V126" s="22"/>
      <c r="Y126" s="76">
        <f t="shared" si="19"/>
        <v>1.2252918110622379E-2</v>
      </c>
    </row>
    <row r="127" spans="1:32" hidden="1">
      <c r="A127" s="117">
        <v>4118</v>
      </c>
      <c r="B127" s="16"/>
      <c r="C127" s="16"/>
      <c r="D127" s="62" t="s">
        <v>208</v>
      </c>
      <c r="E127" s="62"/>
      <c r="G127" s="15"/>
      <c r="H127" s="15"/>
      <c r="I127" s="15">
        <v>378093</v>
      </c>
      <c r="J127" s="15">
        <v>413146</v>
      </c>
      <c r="K127" s="15"/>
      <c r="L127" s="22"/>
      <c r="M127" s="22"/>
      <c r="N127" s="22"/>
      <c r="O127" s="17">
        <f t="shared" si="22"/>
        <v>413146</v>
      </c>
      <c r="P127" s="19"/>
      <c r="Q127" s="95"/>
      <c r="R127" s="15"/>
      <c r="S127" s="15"/>
      <c r="T127" s="17">
        <v>413146</v>
      </c>
      <c r="U127" s="73">
        <f t="shared" si="23"/>
        <v>35053</v>
      </c>
      <c r="Y127" s="76">
        <f t="shared" si="19"/>
        <v>9.2709994630950587E-2</v>
      </c>
    </row>
    <row r="128" spans="1:32" hidden="1">
      <c r="A128" s="117">
        <v>4124</v>
      </c>
      <c r="B128" s="16"/>
      <c r="C128" s="16"/>
      <c r="D128" s="62" t="s">
        <v>209</v>
      </c>
      <c r="E128" s="62"/>
      <c r="G128" s="15"/>
      <c r="H128" s="15"/>
      <c r="I128" s="15">
        <v>19092</v>
      </c>
      <c r="J128" s="15">
        <v>-174610</v>
      </c>
      <c r="K128" s="15"/>
      <c r="L128" s="22"/>
      <c r="M128" s="22"/>
      <c r="N128" s="22"/>
      <c r="O128" s="17">
        <f t="shared" si="22"/>
        <v>-174610</v>
      </c>
      <c r="P128" s="19"/>
      <c r="Q128" s="95"/>
      <c r="R128" s="15"/>
      <c r="S128" s="15"/>
      <c r="T128" s="17">
        <v>-174610</v>
      </c>
      <c r="U128" s="73">
        <f t="shared" si="23"/>
        <v>-193702</v>
      </c>
      <c r="V128" s="22"/>
      <c r="Y128" s="76">
        <f t="shared" si="19"/>
        <v>-10.145715482924786</v>
      </c>
    </row>
    <row r="129" spans="1:25" hidden="1">
      <c r="A129" s="124">
        <v>4137</v>
      </c>
      <c r="B129" s="16"/>
      <c r="C129" s="16"/>
      <c r="D129" s="16" t="s">
        <v>33</v>
      </c>
      <c r="E129" s="62"/>
      <c r="G129" s="15"/>
      <c r="H129" s="15"/>
      <c r="I129" s="15">
        <v>1202</v>
      </c>
      <c r="J129" s="15">
        <v>638</v>
      </c>
      <c r="K129" s="15"/>
      <c r="L129" s="22"/>
      <c r="M129" s="22"/>
      <c r="N129" s="22"/>
      <c r="O129" s="17">
        <f t="shared" si="22"/>
        <v>638</v>
      </c>
      <c r="P129" s="19"/>
      <c r="Q129" s="95"/>
      <c r="R129" s="15"/>
      <c r="S129" s="15"/>
      <c r="T129" s="17">
        <v>638</v>
      </c>
      <c r="U129" s="73">
        <f t="shared" si="23"/>
        <v>-564</v>
      </c>
      <c r="Y129" s="76">
        <f t="shared" si="19"/>
        <v>-0.46921797004991683</v>
      </c>
    </row>
    <row r="130" spans="1:25" hidden="1">
      <c r="A130" s="117">
        <v>4131</v>
      </c>
      <c r="B130" s="16"/>
      <c r="C130" s="16"/>
      <c r="D130" s="62" t="s">
        <v>210</v>
      </c>
      <c r="E130" s="62"/>
      <c r="G130" s="15"/>
      <c r="H130" s="15"/>
      <c r="I130" s="15">
        <v>3399738</v>
      </c>
      <c r="J130" s="15">
        <v>3098136</v>
      </c>
      <c r="K130" s="15"/>
      <c r="L130" s="22"/>
      <c r="M130" s="22"/>
      <c r="N130" s="22"/>
      <c r="O130" s="17">
        <f t="shared" si="22"/>
        <v>3098136</v>
      </c>
      <c r="P130" s="19"/>
      <c r="Q130" s="95"/>
      <c r="R130" s="15"/>
      <c r="S130" s="15"/>
      <c r="T130" s="17">
        <v>3098136</v>
      </c>
      <c r="U130" s="73">
        <f t="shared" si="23"/>
        <v>-301602</v>
      </c>
      <c r="V130" s="22"/>
      <c r="Y130" s="76">
        <f t="shared" si="19"/>
        <v>-8.8713306731283414E-2</v>
      </c>
    </row>
    <row r="131" spans="1:25" hidden="1">
      <c r="A131" s="117">
        <v>4133</v>
      </c>
      <c r="B131" s="16"/>
      <c r="C131" s="16"/>
      <c r="D131" s="62" t="s">
        <v>211</v>
      </c>
      <c r="E131" s="62"/>
      <c r="G131" s="15"/>
      <c r="H131" s="15"/>
      <c r="I131" s="15">
        <v>5411755</v>
      </c>
      <c r="J131" s="15">
        <v>5538697</v>
      </c>
      <c r="K131" s="15"/>
      <c r="L131" s="22"/>
      <c r="M131" s="22"/>
      <c r="N131" s="22"/>
      <c r="O131" s="17">
        <f t="shared" si="22"/>
        <v>5538697</v>
      </c>
      <c r="P131" s="15">
        <f>32191</f>
        <v>32191</v>
      </c>
      <c r="Q131" s="95" t="s">
        <v>67</v>
      </c>
      <c r="R131" s="15"/>
      <c r="S131" s="15"/>
      <c r="T131" s="17">
        <v>5570888</v>
      </c>
      <c r="U131" s="73">
        <f t="shared" si="23"/>
        <v>159133</v>
      </c>
      <c r="Y131" s="76">
        <f t="shared" si="19"/>
        <v>2.9405063606907558E-2</v>
      </c>
    </row>
    <row r="132" spans="1:25" hidden="1">
      <c r="A132" s="117">
        <v>4134</v>
      </c>
      <c r="B132" s="16"/>
      <c r="C132" s="16"/>
      <c r="D132" s="62" t="s">
        <v>212</v>
      </c>
      <c r="E132" s="62"/>
      <c r="G132" s="15"/>
      <c r="H132" s="15"/>
      <c r="I132" s="15">
        <v>5285038</v>
      </c>
      <c r="J132" s="15">
        <v>5446760</v>
      </c>
      <c r="K132" s="15"/>
      <c r="L132" s="22"/>
      <c r="M132" s="22"/>
      <c r="N132" s="22"/>
      <c r="O132" s="17">
        <f t="shared" si="22"/>
        <v>5446760</v>
      </c>
      <c r="P132" s="19"/>
      <c r="Q132" s="95"/>
      <c r="R132" s="15"/>
      <c r="S132" s="15"/>
      <c r="T132" s="17">
        <v>5446760</v>
      </c>
      <c r="U132" s="73">
        <f t="shared" si="23"/>
        <v>161722</v>
      </c>
      <c r="V132" s="22"/>
      <c r="Y132" s="76">
        <f t="shared" si="19"/>
        <v>3.0599969196058761E-2</v>
      </c>
    </row>
    <row r="133" spans="1:25" hidden="1">
      <c r="A133" s="117">
        <v>4135</v>
      </c>
      <c r="B133" s="16"/>
      <c r="C133" s="16"/>
      <c r="D133" s="62" t="s">
        <v>213</v>
      </c>
      <c r="E133" s="62"/>
      <c r="G133" s="15"/>
      <c r="H133" s="15"/>
      <c r="I133" s="15">
        <v>696264</v>
      </c>
      <c r="J133" s="15">
        <v>667213</v>
      </c>
      <c r="K133" s="15"/>
      <c r="L133" s="22"/>
      <c r="M133" s="22"/>
      <c r="N133" s="22"/>
      <c r="O133" s="17">
        <f t="shared" si="22"/>
        <v>667213</v>
      </c>
      <c r="P133" s="19"/>
      <c r="Q133" s="95"/>
      <c r="R133" s="15"/>
      <c r="S133" s="15"/>
      <c r="T133" s="17">
        <v>667213</v>
      </c>
      <c r="U133" s="73">
        <f t="shared" si="23"/>
        <v>-29051</v>
      </c>
      <c r="Y133" s="76">
        <f t="shared" si="19"/>
        <v>-4.1724116139854994E-2</v>
      </c>
    </row>
    <row r="134" spans="1:25" hidden="1">
      <c r="A134" s="117">
        <v>4136</v>
      </c>
      <c r="B134" s="16"/>
      <c r="C134" s="16"/>
      <c r="D134" s="62" t="s">
        <v>214</v>
      </c>
      <c r="E134" s="62"/>
      <c r="G134" s="15"/>
      <c r="H134" s="15"/>
      <c r="I134" s="15">
        <v>57110</v>
      </c>
      <c r="J134" s="15">
        <v>46928</v>
      </c>
      <c r="K134" s="15"/>
      <c r="L134" s="22"/>
      <c r="M134" s="22"/>
      <c r="N134" s="22"/>
      <c r="O134" s="17">
        <f t="shared" si="22"/>
        <v>46928</v>
      </c>
      <c r="P134" s="19"/>
      <c r="Q134" s="95"/>
      <c r="R134" s="15"/>
      <c r="S134" s="15"/>
      <c r="T134" s="17">
        <v>46928</v>
      </c>
      <c r="U134" s="73">
        <f t="shared" si="23"/>
        <v>-10182</v>
      </c>
      <c r="V134" s="22"/>
      <c r="Y134" s="76">
        <f t="shared" si="19"/>
        <v>-0.17828751532130976</v>
      </c>
    </row>
    <row r="135" spans="1:25" hidden="1">
      <c r="A135" s="117">
        <v>4138</v>
      </c>
      <c r="B135" s="16"/>
      <c r="C135" s="16"/>
      <c r="D135" s="62" t="s">
        <v>215</v>
      </c>
      <c r="E135" s="62"/>
      <c r="G135" s="15"/>
      <c r="H135" s="15"/>
      <c r="I135" s="15">
        <v>564343</v>
      </c>
      <c r="J135" s="15">
        <v>772679</v>
      </c>
      <c r="K135" s="15"/>
      <c r="L135" s="22"/>
      <c r="M135" s="22"/>
      <c r="N135" s="22"/>
      <c r="O135" s="17">
        <f t="shared" si="22"/>
        <v>772679</v>
      </c>
      <c r="P135" s="19"/>
      <c r="Q135" s="95"/>
      <c r="R135" s="15"/>
      <c r="S135" s="15"/>
      <c r="T135" s="17">
        <v>772679</v>
      </c>
      <c r="U135" s="73">
        <f t="shared" si="23"/>
        <v>208336</v>
      </c>
      <c r="Y135" s="76">
        <f t="shared" si="19"/>
        <v>0.3691655606608038</v>
      </c>
    </row>
    <row r="136" spans="1:25" hidden="1">
      <c r="A136" s="117">
        <v>4139</v>
      </c>
      <c r="B136" s="16"/>
      <c r="C136" s="16"/>
      <c r="D136" s="62" t="s">
        <v>216</v>
      </c>
      <c r="E136" s="62"/>
      <c r="G136" s="15"/>
      <c r="H136" s="15"/>
      <c r="I136" s="15">
        <v>249488</v>
      </c>
      <c r="J136" s="15">
        <v>259379</v>
      </c>
      <c r="K136" s="15"/>
      <c r="L136" s="22"/>
      <c r="M136" s="22"/>
      <c r="N136" s="22"/>
      <c r="O136" s="17">
        <f t="shared" si="22"/>
        <v>259379</v>
      </c>
      <c r="P136" s="19"/>
      <c r="Q136" s="95"/>
      <c r="R136" s="15"/>
      <c r="S136" s="15"/>
      <c r="T136" s="17">
        <v>259379</v>
      </c>
      <c r="U136" s="73">
        <f t="shared" si="23"/>
        <v>9891</v>
      </c>
      <c r="Y136" s="76">
        <f t="shared" si="19"/>
        <v>3.9645193355993071E-2</v>
      </c>
    </row>
    <row r="137" spans="1:25" hidden="1">
      <c r="A137" s="117">
        <v>4141</v>
      </c>
      <c r="B137" s="16"/>
      <c r="C137" s="16"/>
      <c r="D137" s="62" t="s">
        <v>217</v>
      </c>
      <c r="E137" s="62"/>
      <c r="G137" s="15"/>
      <c r="H137" s="15"/>
      <c r="I137" s="15">
        <v>149462</v>
      </c>
      <c r="J137" s="15">
        <v>177821</v>
      </c>
      <c r="K137" s="15"/>
      <c r="L137" s="22"/>
      <c r="M137" s="22"/>
      <c r="N137" s="22"/>
      <c r="O137" s="17">
        <f t="shared" si="22"/>
        <v>177821</v>
      </c>
      <c r="P137" s="19"/>
      <c r="Q137" s="95"/>
      <c r="R137" s="15"/>
      <c r="S137" s="15"/>
      <c r="T137" s="17">
        <v>177821</v>
      </c>
      <c r="U137" s="73">
        <f t="shared" si="23"/>
        <v>28359</v>
      </c>
      <c r="Y137" s="76">
        <f t="shared" si="19"/>
        <v>0.18974053605598748</v>
      </c>
    </row>
    <row r="138" spans="1:25" hidden="1">
      <c r="A138" s="117">
        <v>4151</v>
      </c>
      <c r="B138" s="16"/>
      <c r="C138" s="16"/>
      <c r="D138" s="62" t="s">
        <v>218</v>
      </c>
      <c r="E138" s="62"/>
      <c r="G138" s="15"/>
      <c r="H138" s="15"/>
      <c r="I138" s="15">
        <v>-4809</v>
      </c>
      <c r="J138" s="15">
        <v>-7031</v>
      </c>
      <c r="K138" s="15"/>
      <c r="L138" s="22"/>
      <c r="M138" s="22"/>
      <c r="N138" s="22"/>
      <c r="O138" s="17">
        <f t="shared" si="22"/>
        <v>-7031</v>
      </c>
      <c r="P138" s="19"/>
      <c r="Q138" s="95"/>
      <c r="R138" s="15"/>
      <c r="S138" s="15"/>
      <c r="T138" s="17">
        <v>-7031</v>
      </c>
      <c r="U138" s="73">
        <f t="shared" si="23"/>
        <v>-2222</v>
      </c>
      <c r="Y138" s="76">
        <f t="shared" si="19"/>
        <v>0.46205032231233106</v>
      </c>
    </row>
    <row r="139" spans="1:25" hidden="1">
      <c r="A139" s="117">
        <v>4161</v>
      </c>
      <c r="B139" s="16"/>
      <c r="C139" s="16"/>
      <c r="D139" s="62" t="s">
        <v>219</v>
      </c>
      <c r="E139" s="62"/>
      <c r="G139" s="15"/>
      <c r="H139" s="15"/>
      <c r="I139" s="15">
        <v>6617695</v>
      </c>
      <c r="J139" s="15">
        <v>6408852</v>
      </c>
      <c r="K139" s="15"/>
      <c r="L139" s="22"/>
      <c r="M139" s="22"/>
      <c r="N139" s="22"/>
      <c r="O139" s="17">
        <f t="shared" si="22"/>
        <v>6408852</v>
      </c>
      <c r="P139" s="19"/>
      <c r="Q139" s="95"/>
      <c r="R139" s="15"/>
      <c r="S139" s="15"/>
      <c r="T139" s="17">
        <v>6408852</v>
      </c>
      <c r="U139" s="73">
        <f t="shared" si="23"/>
        <v>-208843</v>
      </c>
      <c r="Y139" s="76">
        <f t="shared" si="19"/>
        <v>-3.1558269155650118E-2</v>
      </c>
    </row>
    <row r="140" spans="1:25" hidden="1">
      <c r="A140" s="117">
        <v>4162</v>
      </c>
      <c r="B140" s="16"/>
      <c r="C140" s="16"/>
      <c r="D140" s="62" t="s">
        <v>220</v>
      </c>
      <c r="E140" s="62"/>
      <c r="G140" s="15"/>
      <c r="H140" s="15"/>
      <c r="I140" s="15">
        <v>186486</v>
      </c>
      <c r="J140" s="15">
        <v>155662</v>
      </c>
      <c r="K140" s="15"/>
      <c r="L140" s="22"/>
      <c r="M140" s="22"/>
      <c r="N140" s="22"/>
      <c r="O140" s="17">
        <f t="shared" si="22"/>
        <v>155662</v>
      </c>
      <c r="P140" s="19"/>
      <c r="Q140" s="95"/>
      <c r="R140" s="15"/>
      <c r="S140" s="15"/>
      <c r="T140" s="17">
        <v>155662</v>
      </c>
      <c r="U140" s="73">
        <f t="shared" si="23"/>
        <v>-30824</v>
      </c>
      <c r="Y140" s="76">
        <f t="shared" si="19"/>
        <v>-0.16528854712954325</v>
      </c>
    </row>
    <row r="141" spans="1:25" hidden="1">
      <c r="A141" s="117">
        <v>4163</v>
      </c>
      <c r="B141" s="16"/>
      <c r="C141" s="16"/>
      <c r="D141" s="62" t="s">
        <v>221</v>
      </c>
      <c r="E141" s="62"/>
      <c r="G141" s="15"/>
      <c r="H141" s="15"/>
      <c r="I141" s="15">
        <v>150</v>
      </c>
      <c r="J141" s="15">
        <v>576</v>
      </c>
      <c r="K141" s="15"/>
      <c r="L141" s="22"/>
      <c r="M141" s="22"/>
      <c r="N141" s="22"/>
      <c r="O141" s="17">
        <f t="shared" si="22"/>
        <v>576</v>
      </c>
      <c r="P141" s="19"/>
      <c r="Q141" s="95"/>
      <c r="R141" s="15"/>
      <c r="S141" s="15"/>
      <c r="T141" s="17">
        <v>576</v>
      </c>
      <c r="U141" s="73">
        <f t="shared" si="23"/>
        <v>426</v>
      </c>
      <c r="Y141" s="76">
        <f t="shared" si="19"/>
        <v>2.84</v>
      </c>
    </row>
    <row r="142" spans="1:25" hidden="1">
      <c r="A142" s="117">
        <v>4164</v>
      </c>
      <c r="B142" s="16"/>
      <c r="C142" s="16"/>
      <c r="D142" s="62" t="s">
        <v>222</v>
      </c>
      <c r="E142" s="62"/>
      <c r="G142" s="15"/>
      <c r="H142" s="15"/>
      <c r="I142" s="15">
        <v>247695</v>
      </c>
      <c r="J142" s="15">
        <v>265351</v>
      </c>
      <c r="K142" s="15"/>
      <c r="L142" s="22"/>
      <c r="M142" s="22"/>
      <c r="N142" s="22"/>
      <c r="O142" s="17">
        <f t="shared" si="22"/>
        <v>265351</v>
      </c>
      <c r="P142" s="19"/>
      <c r="Q142" s="95"/>
      <c r="R142" s="15"/>
      <c r="S142" s="15"/>
      <c r="T142" s="17">
        <v>265351</v>
      </c>
      <c r="U142" s="73">
        <f t="shared" si="23"/>
        <v>17656</v>
      </c>
      <c r="Y142" s="76">
        <f t="shared" si="19"/>
        <v>7.1281212781848638E-2</v>
      </c>
    </row>
    <row r="143" spans="1:25" hidden="1">
      <c r="A143" s="117">
        <v>4165</v>
      </c>
      <c r="B143" s="16"/>
      <c r="C143" s="16"/>
      <c r="D143" s="62" t="s">
        <v>223</v>
      </c>
      <c r="E143" s="62"/>
      <c r="G143" s="15"/>
      <c r="H143" s="15"/>
      <c r="I143" s="15">
        <v>107767</v>
      </c>
      <c r="J143" s="15">
        <v>81478</v>
      </c>
      <c r="K143" s="15"/>
      <c r="L143" s="22"/>
      <c r="M143" s="22"/>
      <c r="N143" s="22"/>
      <c r="O143" s="17">
        <f t="shared" si="22"/>
        <v>81478</v>
      </c>
      <c r="P143" s="19"/>
      <c r="Q143" s="95"/>
      <c r="R143" s="15"/>
      <c r="S143" s="15"/>
      <c r="T143" s="17">
        <v>81478</v>
      </c>
      <c r="U143" s="73">
        <f t="shared" si="23"/>
        <v>-26289</v>
      </c>
      <c r="Y143" s="76">
        <f t="shared" si="19"/>
        <v>-0.24394295099613053</v>
      </c>
    </row>
    <row r="144" spans="1:25" hidden="1">
      <c r="A144" s="117">
        <v>4171</v>
      </c>
      <c r="B144" s="16"/>
      <c r="C144" s="16"/>
      <c r="D144" s="62" t="s">
        <v>224</v>
      </c>
      <c r="E144" s="62"/>
      <c r="G144" s="15"/>
      <c r="H144" s="15"/>
      <c r="I144" s="15">
        <v>100094</v>
      </c>
      <c r="J144" s="15">
        <v>89748</v>
      </c>
      <c r="K144" s="15"/>
      <c r="L144" s="22"/>
      <c r="M144" s="22"/>
      <c r="N144" s="22"/>
      <c r="O144" s="17">
        <f t="shared" si="22"/>
        <v>89748</v>
      </c>
      <c r="P144" s="19"/>
      <c r="Q144" s="95"/>
      <c r="R144" s="15"/>
      <c r="S144" s="15"/>
      <c r="T144" s="17">
        <v>89748</v>
      </c>
      <c r="U144" s="73">
        <f t="shared" si="23"/>
        <v>-10346</v>
      </c>
      <c r="Y144" s="76">
        <f t="shared" si="19"/>
        <v>-0.10336283893140448</v>
      </c>
    </row>
    <row r="145" spans="1:25" hidden="1">
      <c r="A145" s="117">
        <v>4172</v>
      </c>
      <c r="B145" s="16"/>
      <c r="C145" s="16"/>
      <c r="D145" s="62" t="s">
        <v>225</v>
      </c>
      <c r="E145" s="62"/>
      <c r="G145" s="15"/>
      <c r="H145" s="15"/>
      <c r="I145" s="15">
        <v>1371188</v>
      </c>
      <c r="J145" s="15">
        <v>1295082</v>
      </c>
      <c r="K145" s="15"/>
      <c r="L145" s="22"/>
      <c r="M145" s="22"/>
      <c r="N145" s="22"/>
      <c r="O145" s="17">
        <f t="shared" si="22"/>
        <v>1295082</v>
      </c>
      <c r="P145" s="19"/>
      <c r="Q145" s="95"/>
      <c r="R145" s="15"/>
      <c r="S145" s="15"/>
      <c r="T145" s="17">
        <v>1295082</v>
      </c>
      <c r="U145" s="73">
        <f t="shared" si="23"/>
        <v>-76106</v>
      </c>
      <c r="Y145" s="76">
        <f t="shared" si="19"/>
        <v>-5.5503694606428879E-2</v>
      </c>
    </row>
    <row r="146" spans="1:25" hidden="1">
      <c r="A146" s="117">
        <v>4173</v>
      </c>
      <c r="B146" s="16"/>
      <c r="C146" s="16"/>
      <c r="D146" s="62" t="s">
        <v>226</v>
      </c>
      <c r="E146" s="62"/>
      <c r="G146" s="15"/>
      <c r="H146" s="15"/>
      <c r="I146" s="15">
        <v>1420029</v>
      </c>
      <c r="J146" s="15">
        <v>1471999</v>
      </c>
      <c r="K146" s="15"/>
      <c r="L146" s="22"/>
      <c r="M146" s="22"/>
      <c r="N146" s="22"/>
      <c r="O146" s="17">
        <f t="shared" si="22"/>
        <v>1471999</v>
      </c>
      <c r="P146" s="19"/>
      <c r="Q146" s="95"/>
      <c r="R146" s="15"/>
      <c r="S146" s="15"/>
      <c r="T146" s="17">
        <v>1471999</v>
      </c>
      <c r="U146" s="73">
        <f t="shared" si="23"/>
        <v>51970</v>
      </c>
      <c r="Y146" s="76">
        <f t="shared" si="19"/>
        <v>3.6597844128535402E-2</v>
      </c>
    </row>
    <row r="147" spans="1:25" hidden="1">
      <c r="A147" s="117">
        <v>4174</v>
      </c>
      <c r="B147" s="16"/>
      <c r="C147" s="16"/>
      <c r="D147" s="62" t="s">
        <v>227</v>
      </c>
      <c r="E147" s="62"/>
      <c r="G147" s="15"/>
      <c r="H147" s="15"/>
      <c r="I147" s="15">
        <v>1535</v>
      </c>
      <c r="J147" s="15">
        <v>1643</v>
      </c>
      <c r="K147" s="15"/>
      <c r="L147" s="22"/>
      <c r="M147" s="22"/>
      <c r="N147" s="22"/>
      <c r="O147" s="17">
        <f t="shared" si="22"/>
        <v>1643</v>
      </c>
      <c r="P147" s="19"/>
      <c r="Q147" s="95"/>
      <c r="R147" s="15"/>
      <c r="S147" s="15"/>
      <c r="T147" s="17">
        <v>1643</v>
      </c>
      <c r="U147" s="73">
        <f t="shared" si="23"/>
        <v>108</v>
      </c>
      <c r="Y147" s="76">
        <f t="shared" si="19"/>
        <v>7.0358306188925079E-2</v>
      </c>
    </row>
    <row r="148" spans="1:25" hidden="1">
      <c r="A148" s="117">
        <v>4177</v>
      </c>
      <c r="B148" s="16"/>
      <c r="C148" s="16"/>
      <c r="D148" s="62" t="s">
        <v>228</v>
      </c>
      <c r="E148" s="62"/>
      <c r="G148" s="15"/>
      <c r="H148" s="15"/>
      <c r="I148" s="15">
        <v>1495</v>
      </c>
      <c r="J148" s="15">
        <v>9598</v>
      </c>
      <c r="K148" s="15"/>
      <c r="L148" s="22"/>
      <c r="M148" s="22"/>
      <c r="N148" s="22"/>
      <c r="O148" s="17">
        <f t="shared" si="22"/>
        <v>9598</v>
      </c>
      <c r="P148" s="19"/>
      <c r="Q148" s="95"/>
      <c r="R148" s="15"/>
      <c r="S148" s="15"/>
      <c r="T148" s="17">
        <v>9598</v>
      </c>
      <c r="U148" s="73">
        <f t="shared" si="23"/>
        <v>8103</v>
      </c>
      <c r="Y148" s="76">
        <f t="shared" si="19"/>
        <v>5.4200668896321069</v>
      </c>
    </row>
    <row r="149" spans="1:25" hidden="1">
      <c r="A149" s="117">
        <v>4311</v>
      </c>
      <c r="B149" s="16"/>
      <c r="C149" s="16"/>
      <c r="D149" s="62" t="s">
        <v>229</v>
      </c>
      <c r="E149" s="62"/>
      <c r="G149" s="15"/>
      <c r="H149" s="15"/>
      <c r="I149" s="15">
        <v>4938579</v>
      </c>
      <c r="J149" s="15">
        <v>5155652</v>
      </c>
      <c r="K149" s="15"/>
      <c r="L149" s="22"/>
      <c r="M149" s="22"/>
      <c r="N149" s="22"/>
      <c r="O149" s="17">
        <f t="shared" si="22"/>
        <v>5155652</v>
      </c>
      <c r="P149" s="19"/>
      <c r="Q149" s="95"/>
      <c r="R149" s="15"/>
      <c r="S149" s="15"/>
      <c r="T149" s="17">
        <v>5155652</v>
      </c>
      <c r="U149" s="73">
        <f t="shared" si="23"/>
        <v>217073</v>
      </c>
      <c r="Y149" s="76">
        <f t="shared" si="19"/>
        <v>4.3954546439370516E-2</v>
      </c>
    </row>
    <row r="150" spans="1:25" hidden="1">
      <c r="A150" s="117">
        <v>4312</v>
      </c>
      <c r="B150" s="16"/>
      <c r="C150" s="16"/>
      <c r="D150" s="62" t="s">
        <v>230</v>
      </c>
      <c r="E150" s="62"/>
      <c r="G150" s="15"/>
      <c r="H150" s="15"/>
      <c r="I150" s="15">
        <v>1371159</v>
      </c>
      <c r="J150" s="15">
        <v>1415016</v>
      </c>
      <c r="K150" s="15"/>
      <c r="L150" s="22"/>
      <c r="M150" s="22"/>
      <c r="N150" s="22"/>
      <c r="O150" s="17">
        <f t="shared" si="22"/>
        <v>1415016</v>
      </c>
      <c r="P150" s="19"/>
      <c r="Q150" s="95"/>
      <c r="R150" s="15"/>
      <c r="S150" s="15"/>
      <c r="T150" s="17">
        <v>1415016</v>
      </c>
      <c r="U150" s="73">
        <f t="shared" si="23"/>
        <v>43857</v>
      </c>
      <c r="Y150" s="76">
        <f t="shared" si="19"/>
        <v>3.1985349620284736E-2</v>
      </c>
    </row>
    <row r="151" spans="1:25" hidden="1">
      <c r="A151" s="117">
        <v>4321</v>
      </c>
      <c r="B151" s="16"/>
      <c r="C151" s="16"/>
      <c r="D151" s="62" t="s">
        <v>231</v>
      </c>
      <c r="E151" s="62"/>
      <c r="G151" s="15"/>
      <c r="H151" s="15"/>
      <c r="I151" s="15">
        <v>17359735</v>
      </c>
      <c r="J151" s="15">
        <v>17409251</v>
      </c>
      <c r="K151" s="15"/>
      <c r="L151" s="22"/>
      <c r="M151" s="22"/>
      <c r="N151" s="22"/>
      <c r="O151" s="17">
        <f t="shared" si="22"/>
        <v>17409251</v>
      </c>
      <c r="P151" s="19"/>
      <c r="Q151" s="95"/>
      <c r="R151" s="15"/>
      <c r="S151" s="15"/>
      <c r="T151" s="17">
        <v>17409251</v>
      </c>
      <c r="U151" s="73">
        <f t="shared" si="23"/>
        <v>49516</v>
      </c>
      <c r="Y151" s="76">
        <f t="shared" si="19"/>
        <v>2.8523476884871803E-3</v>
      </c>
    </row>
    <row r="152" spans="1:25" hidden="1">
      <c r="A152" s="117">
        <v>4322</v>
      </c>
      <c r="B152" s="16"/>
      <c r="C152" s="16"/>
      <c r="D152" s="62" t="s">
        <v>232</v>
      </c>
      <c r="E152" s="62"/>
      <c r="G152" s="15"/>
      <c r="H152" s="15"/>
      <c r="I152" s="15">
        <v>813335</v>
      </c>
      <c r="J152" s="15">
        <v>848971</v>
      </c>
      <c r="K152" s="15"/>
      <c r="L152" s="22"/>
      <c r="M152" s="22"/>
      <c r="N152" s="22"/>
      <c r="O152" s="17">
        <f t="shared" si="22"/>
        <v>848971</v>
      </c>
      <c r="P152" s="19"/>
      <c r="Q152" s="95"/>
      <c r="R152" s="15"/>
      <c r="S152" s="15"/>
      <c r="T152" s="17">
        <v>848971</v>
      </c>
      <c r="U152" s="73">
        <f t="shared" si="23"/>
        <v>35636</v>
      </c>
      <c r="Y152" s="76">
        <f t="shared" si="19"/>
        <v>4.3814664314212472E-2</v>
      </c>
    </row>
    <row r="153" spans="1:25" hidden="1">
      <c r="A153" s="117">
        <v>4323</v>
      </c>
      <c r="B153" s="16"/>
      <c r="C153" s="16"/>
      <c r="D153" s="62" t="s">
        <v>233</v>
      </c>
      <c r="E153" s="62"/>
      <c r="G153" s="15"/>
      <c r="H153" s="15"/>
      <c r="I153" s="15">
        <v>1211</v>
      </c>
      <c r="J153" s="15">
        <v>1354</v>
      </c>
      <c r="K153" s="15"/>
      <c r="L153" s="22"/>
      <c r="M153" s="22"/>
      <c r="N153" s="22"/>
      <c r="O153" s="17">
        <f t="shared" si="22"/>
        <v>1354</v>
      </c>
      <c r="P153" s="19"/>
      <c r="Q153" s="95"/>
      <c r="R153" s="15"/>
      <c r="S153" s="15"/>
      <c r="T153" s="17">
        <v>1354</v>
      </c>
      <c r="U153" s="73">
        <f t="shared" si="23"/>
        <v>143</v>
      </c>
      <c r="Y153" s="76">
        <f t="shared" si="19"/>
        <v>0.1180842279108175</v>
      </c>
    </row>
    <row r="154" spans="1:25" hidden="1">
      <c r="A154" s="117">
        <v>4325</v>
      </c>
      <c r="B154" s="16"/>
      <c r="C154" s="16"/>
      <c r="D154" s="62" t="s">
        <v>234</v>
      </c>
      <c r="E154" s="62"/>
      <c r="G154" s="15"/>
      <c r="H154" s="15"/>
      <c r="I154" s="15">
        <v>3634</v>
      </c>
      <c r="J154" s="15">
        <v>6257</v>
      </c>
      <c r="K154" s="15"/>
      <c r="L154" s="22"/>
      <c r="M154" s="22"/>
      <c r="N154" s="22"/>
      <c r="O154" s="17">
        <f t="shared" si="22"/>
        <v>6257</v>
      </c>
      <c r="P154" s="19"/>
      <c r="Q154" s="95"/>
      <c r="R154" s="15"/>
      <c r="S154" s="15"/>
      <c r="T154" s="17">
        <v>6257</v>
      </c>
      <c r="U154" s="73">
        <f t="shared" si="23"/>
        <v>2623</v>
      </c>
      <c r="Y154" s="76">
        <f t="shared" si="19"/>
        <v>0.72179416620803527</v>
      </c>
    </row>
    <row r="155" spans="1:25" hidden="1">
      <c r="A155" s="117">
        <v>4326</v>
      </c>
      <c r="B155" s="16"/>
      <c r="C155" s="16"/>
      <c r="D155" s="62" t="s">
        <v>23</v>
      </c>
      <c r="E155" s="62"/>
      <c r="G155" s="15"/>
      <c r="H155" s="15"/>
      <c r="I155" s="15">
        <v>1869164</v>
      </c>
      <c r="J155" s="15">
        <v>0</v>
      </c>
      <c r="K155" s="15"/>
      <c r="L155" s="22"/>
      <c r="M155" s="22"/>
      <c r="N155" s="22"/>
      <c r="O155" s="17">
        <f t="shared" si="22"/>
        <v>0</v>
      </c>
      <c r="P155" s="15">
        <v>0</v>
      </c>
      <c r="Q155" s="95"/>
      <c r="R155" s="15"/>
      <c r="S155" s="15"/>
      <c r="T155" s="17">
        <v>0</v>
      </c>
      <c r="U155" s="73">
        <f t="shared" si="23"/>
        <v>-1869164</v>
      </c>
      <c r="Y155" s="76">
        <f t="shared" si="19"/>
        <v>-1</v>
      </c>
    </row>
    <row r="156" spans="1:25" hidden="1">
      <c r="A156" s="117">
        <v>4411</v>
      </c>
      <c r="B156" s="16"/>
      <c r="C156" s="16"/>
      <c r="D156" s="62" t="s">
        <v>235</v>
      </c>
      <c r="E156" s="62"/>
      <c r="G156" s="15"/>
      <c r="H156" s="15"/>
      <c r="I156" s="15">
        <v>2250032</v>
      </c>
      <c r="J156" s="15">
        <v>2562748</v>
      </c>
      <c r="K156" s="15"/>
      <c r="L156" s="22"/>
      <c r="M156" s="22"/>
      <c r="N156" s="22"/>
      <c r="O156" s="17">
        <f t="shared" si="22"/>
        <v>2562748</v>
      </c>
      <c r="P156" s="19"/>
      <c r="Q156" s="95"/>
      <c r="R156" s="15"/>
      <c r="S156" s="15"/>
      <c r="T156" s="17">
        <v>2562748</v>
      </c>
      <c r="U156" s="73">
        <f t="shared" si="23"/>
        <v>312716</v>
      </c>
      <c r="Y156" s="76">
        <f t="shared" si="19"/>
        <v>0.13898291224302586</v>
      </c>
    </row>
    <row r="157" spans="1:25" hidden="1">
      <c r="A157" s="117">
        <v>4412</v>
      </c>
      <c r="B157" s="16"/>
      <c r="C157" s="16"/>
      <c r="D157" s="62" t="s">
        <v>236</v>
      </c>
      <c r="E157" s="62"/>
      <c r="G157" s="15"/>
      <c r="H157" s="15"/>
      <c r="I157" s="15">
        <v>5754244</v>
      </c>
      <c r="J157" s="15">
        <v>6114581</v>
      </c>
      <c r="K157" s="15"/>
      <c r="L157" s="22"/>
      <c r="M157" s="22"/>
      <c r="N157" s="22"/>
      <c r="O157" s="17">
        <f t="shared" si="22"/>
        <v>6114581</v>
      </c>
      <c r="P157" s="19"/>
      <c r="Q157" s="95"/>
      <c r="R157" s="15"/>
      <c r="S157" s="15"/>
      <c r="T157" s="17">
        <v>6114581</v>
      </c>
      <c r="U157" s="73">
        <f t="shared" si="23"/>
        <v>360337</v>
      </c>
      <c r="Y157" s="76">
        <f t="shared" si="19"/>
        <v>6.2621084542122299E-2</v>
      </c>
    </row>
    <row r="158" spans="1:25" hidden="1">
      <c r="A158" s="117">
        <v>4413</v>
      </c>
      <c r="B158" s="16"/>
      <c r="C158" s="16"/>
      <c r="D158" s="62" t="s">
        <v>237</v>
      </c>
      <c r="E158" s="62"/>
      <c r="G158" s="15"/>
      <c r="H158" s="15"/>
      <c r="I158" s="15">
        <v>1830303</v>
      </c>
      <c r="J158" s="15">
        <v>1612687</v>
      </c>
      <c r="K158" s="15"/>
      <c r="L158" s="22"/>
      <c r="M158" s="22"/>
      <c r="N158" s="22"/>
      <c r="O158" s="17">
        <f t="shared" si="22"/>
        <v>1612687</v>
      </c>
      <c r="P158" s="19"/>
      <c r="Q158" s="95"/>
      <c r="R158" s="15"/>
      <c r="S158" s="15"/>
      <c r="T158" s="17">
        <v>1612687</v>
      </c>
      <c r="U158" s="73">
        <f t="shared" si="23"/>
        <v>-217616</v>
      </c>
      <c r="Y158" s="76">
        <f t="shared" si="19"/>
        <v>-0.11889616090887684</v>
      </c>
    </row>
    <row r="159" spans="1:25" hidden="1">
      <c r="A159" s="117">
        <v>4415</v>
      </c>
      <c r="B159" s="16"/>
      <c r="C159" s="16"/>
      <c r="D159" s="62" t="s">
        <v>238</v>
      </c>
      <c r="E159" s="62"/>
      <c r="G159" s="15"/>
      <c r="H159" s="15"/>
      <c r="I159" s="15">
        <v>25719</v>
      </c>
      <c r="J159" s="15">
        <v>7594</v>
      </c>
      <c r="K159" s="15"/>
      <c r="L159" s="22"/>
      <c r="M159" s="22"/>
      <c r="N159" s="22"/>
      <c r="O159" s="17">
        <f t="shared" si="22"/>
        <v>7594</v>
      </c>
      <c r="P159" s="19"/>
      <c r="Q159" s="95"/>
      <c r="R159" s="15"/>
      <c r="S159" s="15"/>
      <c r="T159" s="17">
        <v>7594</v>
      </c>
      <c r="U159" s="73">
        <f t="shared" si="23"/>
        <v>-18125</v>
      </c>
      <c r="Y159" s="76">
        <f t="shared" si="19"/>
        <v>-0.70473191026089665</v>
      </c>
    </row>
    <row r="160" spans="1:25" hidden="1">
      <c r="A160" s="117">
        <v>4417</v>
      </c>
      <c r="B160" s="16"/>
      <c r="C160" s="16"/>
      <c r="D160" s="62" t="s">
        <v>239</v>
      </c>
      <c r="E160" s="62"/>
      <c r="G160" s="15"/>
      <c r="H160" s="15"/>
      <c r="I160" s="15">
        <v>2420</v>
      </c>
      <c r="J160" s="15">
        <v>225</v>
      </c>
      <c r="K160" s="15"/>
      <c r="L160" s="22"/>
      <c r="M160" s="22"/>
      <c r="N160" s="22"/>
      <c r="O160" s="17">
        <f t="shared" si="22"/>
        <v>225</v>
      </c>
      <c r="P160" s="19"/>
      <c r="Q160" s="95"/>
      <c r="R160" s="15"/>
      <c r="S160" s="15"/>
      <c r="T160" s="17">
        <v>225</v>
      </c>
      <c r="U160" s="73">
        <f t="shared" si="23"/>
        <v>-2195</v>
      </c>
      <c r="Y160" s="76">
        <f t="shared" si="19"/>
        <v>-0.90702479338842978</v>
      </c>
    </row>
    <row r="161" spans="1:25" hidden="1">
      <c r="A161" s="117">
        <v>4418</v>
      </c>
      <c r="B161" s="16"/>
      <c r="C161" s="16"/>
      <c r="D161" s="62" t="s">
        <v>240</v>
      </c>
      <c r="E161" s="62"/>
      <c r="G161" s="15"/>
      <c r="H161" s="15"/>
      <c r="I161" s="15">
        <v>4965</v>
      </c>
      <c r="J161" s="15">
        <v>2078</v>
      </c>
      <c r="K161" s="15"/>
      <c r="L161" s="22"/>
      <c r="M161" s="22"/>
      <c r="N161" s="22"/>
      <c r="O161" s="17">
        <f t="shared" si="22"/>
        <v>2078</v>
      </c>
      <c r="P161" s="19"/>
      <c r="Q161" s="95"/>
      <c r="R161" s="15"/>
      <c r="S161" s="15"/>
      <c r="T161" s="17">
        <v>2078</v>
      </c>
      <c r="U161" s="73">
        <f t="shared" si="23"/>
        <v>-2887</v>
      </c>
      <c r="Y161" s="76">
        <f t="shared" si="19"/>
        <v>-0.58147029204431022</v>
      </c>
    </row>
    <row r="162" spans="1:25" hidden="1">
      <c r="A162" s="117">
        <v>4419</v>
      </c>
      <c r="B162" s="16"/>
      <c r="C162" s="16"/>
      <c r="D162" s="62" t="s">
        <v>241</v>
      </c>
      <c r="E162" s="62"/>
      <c r="G162" s="15"/>
      <c r="H162" s="15"/>
      <c r="I162" s="15">
        <v>2885</v>
      </c>
      <c r="J162" s="15">
        <v>3573</v>
      </c>
      <c r="K162" s="15"/>
      <c r="L162" s="22"/>
      <c r="M162" s="22"/>
      <c r="N162" s="22"/>
      <c r="O162" s="17">
        <f t="shared" si="22"/>
        <v>3573</v>
      </c>
      <c r="P162" s="19"/>
      <c r="Q162" s="95"/>
      <c r="R162" s="15"/>
      <c r="S162" s="15"/>
      <c r="T162" s="17">
        <v>3573</v>
      </c>
      <c r="U162" s="73">
        <f t="shared" si="23"/>
        <v>688</v>
      </c>
      <c r="Y162" s="76">
        <f t="shared" si="19"/>
        <v>0.23847487001733103</v>
      </c>
    </row>
    <row r="163" spans="1:25" hidden="1">
      <c r="A163" s="117">
        <v>4422</v>
      </c>
      <c r="B163" s="16"/>
      <c r="C163" s="16"/>
      <c r="D163" s="62" t="s">
        <v>242</v>
      </c>
      <c r="E163" s="62"/>
      <c r="G163" s="15"/>
      <c r="H163" s="15"/>
      <c r="I163" s="15">
        <v>864830</v>
      </c>
      <c r="J163" s="15">
        <v>801812</v>
      </c>
      <c r="K163" s="15"/>
      <c r="L163" s="22"/>
      <c r="M163" s="22"/>
      <c r="N163" s="22"/>
      <c r="O163" s="17">
        <f t="shared" si="22"/>
        <v>801812</v>
      </c>
      <c r="P163" s="19"/>
      <c r="Q163" s="95"/>
      <c r="R163" s="15"/>
      <c r="S163" s="15"/>
      <c r="T163" s="17">
        <v>801812</v>
      </c>
      <c r="U163" s="73">
        <f t="shared" si="23"/>
        <v>-63018</v>
      </c>
      <c r="Y163" s="76">
        <f t="shared" si="19"/>
        <v>-7.2867499971092584E-2</v>
      </c>
    </row>
    <row r="164" spans="1:25" hidden="1">
      <c r="A164" s="117">
        <v>4423</v>
      </c>
      <c r="B164" s="16"/>
      <c r="C164" s="16"/>
      <c r="D164" s="62" t="s">
        <v>243</v>
      </c>
      <c r="E164" s="62"/>
      <c r="G164" s="15"/>
      <c r="H164" s="15"/>
      <c r="I164" s="15">
        <v>148411</v>
      </c>
      <c r="J164" s="15">
        <v>137775</v>
      </c>
      <c r="K164" s="15"/>
      <c r="L164" s="22"/>
      <c r="M164" s="22"/>
      <c r="N164" s="22"/>
      <c r="O164" s="17">
        <f t="shared" si="22"/>
        <v>137775</v>
      </c>
      <c r="P164" s="19"/>
      <c r="Q164" s="95"/>
      <c r="R164" s="15"/>
      <c r="S164" s="15"/>
      <c r="T164" s="17">
        <v>137775</v>
      </c>
      <c r="U164" s="73">
        <f t="shared" si="23"/>
        <v>-10636</v>
      </c>
      <c r="Y164" s="76">
        <f t="shared" si="19"/>
        <v>-7.1665846871188793E-2</v>
      </c>
    </row>
    <row r="165" spans="1:25" hidden="1">
      <c r="A165" s="124">
        <v>4424</v>
      </c>
      <c r="B165" s="16"/>
      <c r="C165" s="16"/>
      <c r="D165" s="62" t="s">
        <v>34</v>
      </c>
      <c r="E165" s="62"/>
      <c r="G165" s="15"/>
      <c r="H165" s="15"/>
      <c r="I165" s="15"/>
      <c r="J165" s="15">
        <v>5975</v>
      </c>
      <c r="K165" s="15"/>
      <c r="L165" s="22"/>
      <c r="M165" s="22"/>
      <c r="N165" s="22"/>
      <c r="O165" s="17">
        <f t="shared" si="22"/>
        <v>5975</v>
      </c>
      <c r="P165" s="19"/>
      <c r="Q165" s="95"/>
      <c r="R165" s="15"/>
      <c r="S165" s="15"/>
      <c r="T165" s="17">
        <v>5975</v>
      </c>
      <c r="U165" s="73">
        <f t="shared" si="23"/>
        <v>5975</v>
      </c>
    </row>
    <row r="166" spans="1:25" hidden="1">
      <c r="A166" s="117">
        <v>4431</v>
      </c>
      <c r="B166" s="16"/>
      <c r="C166" s="16"/>
      <c r="D166" s="62" t="s">
        <v>244</v>
      </c>
      <c r="E166" s="62"/>
      <c r="G166" s="15"/>
      <c r="H166" s="15"/>
      <c r="I166" s="15">
        <v>216421</v>
      </c>
      <c r="J166" s="15">
        <v>214160</v>
      </c>
      <c r="K166" s="15"/>
      <c r="L166" s="22"/>
      <c r="M166" s="22"/>
      <c r="N166" s="22"/>
      <c r="O166" s="17">
        <f t="shared" si="22"/>
        <v>214160</v>
      </c>
      <c r="P166" s="19"/>
      <c r="Q166" s="95"/>
      <c r="R166" s="15"/>
      <c r="S166" s="15"/>
      <c r="T166" s="17">
        <v>214160</v>
      </c>
      <c r="U166" s="73">
        <f t="shared" si="23"/>
        <v>-2261</v>
      </c>
      <c r="Y166" s="76">
        <f t="shared" ref="Y166:Y228" si="24">U166/I166</f>
        <v>-1.0447230167127959E-2</v>
      </c>
    </row>
    <row r="167" spans="1:25" hidden="1">
      <c r="A167" s="117">
        <v>4441</v>
      </c>
      <c r="B167" s="16"/>
      <c r="C167" s="16"/>
      <c r="D167" s="62" t="s">
        <v>245</v>
      </c>
      <c r="E167" s="62"/>
      <c r="G167" s="15"/>
      <c r="H167" s="15"/>
      <c r="I167" s="15">
        <v>124368</v>
      </c>
      <c r="J167" s="15">
        <v>124802</v>
      </c>
      <c r="K167" s="15"/>
      <c r="L167" s="22"/>
      <c r="M167" s="22"/>
      <c r="N167" s="22"/>
      <c r="O167" s="17">
        <f t="shared" si="22"/>
        <v>124802</v>
      </c>
      <c r="P167" s="19"/>
      <c r="Q167" s="95"/>
      <c r="R167" s="15"/>
      <c r="S167" s="15"/>
      <c r="T167" s="17">
        <v>124802</v>
      </c>
      <c r="U167" s="73">
        <f t="shared" si="23"/>
        <v>434</v>
      </c>
      <c r="Y167" s="76">
        <f t="shared" si="24"/>
        <v>3.4896436382349156E-3</v>
      </c>
    </row>
    <row r="168" spans="1:25" hidden="1">
      <c r="A168" s="117">
        <v>4442</v>
      </c>
      <c r="B168" s="16"/>
      <c r="C168" s="16"/>
      <c r="D168" s="62" t="s">
        <v>246</v>
      </c>
      <c r="E168" s="62"/>
      <c r="G168" s="15"/>
      <c r="H168" s="15"/>
      <c r="I168" s="15">
        <v>134283</v>
      </c>
      <c r="J168" s="15">
        <v>138275</v>
      </c>
      <c r="K168" s="15"/>
      <c r="L168" s="22"/>
      <c r="M168" s="22"/>
      <c r="N168" s="22"/>
      <c r="O168" s="17">
        <f t="shared" si="22"/>
        <v>138275</v>
      </c>
      <c r="P168" s="19"/>
      <c r="Q168" s="95"/>
      <c r="R168" s="15"/>
      <c r="S168" s="15"/>
      <c r="T168" s="17">
        <v>138275</v>
      </c>
      <c r="U168" s="73">
        <f t="shared" si="23"/>
        <v>3992</v>
      </c>
      <c r="Y168" s="76">
        <f t="shared" si="24"/>
        <v>2.9728260464839184E-2</v>
      </c>
    </row>
    <row r="169" spans="1:25" hidden="1">
      <c r="A169" s="117">
        <v>4451</v>
      </c>
      <c r="B169" s="16"/>
      <c r="C169" s="16"/>
      <c r="D169" s="62" t="s">
        <v>247</v>
      </c>
      <c r="E169" s="62"/>
      <c r="G169" s="15"/>
      <c r="H169" s="15"/>
      <c r="I169" s="15">
        <v>241231</v>
      </c>
      <c r="J169" s="15">
        <v>750131</v>
      </c>
      <c r="K169" s="15"/>
      <c r="L169" s="22"/>
      <c r="M169" s="22"/>
      <c r="N169" s="22"/>
      <c r="O169" s="17">
        <f t="shared" si="22"/>
        <v>750131</v>
      </c>
      <c r="P169" s="19"/>
      <c r="Q169" s="95"/>
      <c r="R169" s="15"/>
      <c r="S169" s="15"/>
      <c r="T169" s="17">
        <v>750131</v>
      </c>
      <c r="U169" s="73">
        <f t="shared" si="23"/>
        <v>508900</v>
      </c>
      <c r="Y169" s="76">
        <f t="shared" si="24"/>
        <v>2.1095961961771081</v>
      </c>
    </row>
    <row r="170" spans="1:25" hidden="1">
      <c r="A170" s="124">
        <v>4471</v>
      </c>
      <c r="B170" s="16"/>
      <c r="C170" s="16"/>
      <c r="D170" s="62" t="s">
        <v>35</v>
      </c>
      <c r="E170" s="62"/>
      <c r="G170" s="15"/>
      <c r="H170" s="15"/>
      <c r="I170" s="15"/>
      <c r="J170" s="15">
        <v>34801</v>
      </c>
      <c r="K170" s="15"/>
      <c r="L170" s="22"/>
      <c r="M170" s="22"/>
      <c r="N170" s="22"/>
      <c r="O170" s="17">
        <f t="shared" si="22"/>
        <v>34801</v>
      </c>
      <c r="P170" s="19"/>
      <c r="Q170" s="95"/>
      <c r="R170" s="15"/>
      <c r="S170" s="15"/>
      <c r="T170" s="17">
        <v>34801</v>
      </c>
      <c r="U170" s="73">
        <f t="shared" si="23"/>
        <v>34801</v>
      </c>
    </row>
    <row r="171" spans="1:25" hidden="1">
      <c r="A171" s="124">
        <v>4472</v>
      </c>
      <c r="B171" s="16"/>
      <c r="C171" s="16"/>
      <c r="D171" s="62" t="s">
        <v>36</v>
      </c>
      <c r="E171" s="62"/>
      <c r="G171" s="15"/>
      <c r="H171" s="15"/>
      <c r="I171" s="15"/>
      <c r="J171" s="15">
        <v>134928</v>
      </c>
      <c r="K171" s="15"/>
      <c r="L171" s="22"/>
      <c r="M171" s="22"/>
      <c r="N171" s="22"/>
      <c r="O171" s="17">
        <f t="shared" si="22"/>
        <v>134928</v>
      </c>
      <c r="P171" s="19"/>
      <c r="Q171" s="95"/>
      <c r="R171" s="15"/>
      <c r="S171" s="15"/>
      <c r="T171" s="17">
        <v>134928</v>
      </c>
      <c r="U171" s="73">
        <f t="shared" si="23"/>
        <v>134928</v>
      </c>
    </row>
    <row r="172" spans="1:25" hidden="1">
      <c r="A172" s="124">
        <v>4473</v>
      </c>
      <c r="B172" s="16"/>
      <c r="C172" s="16"/>
      <c r="D172" s="62" t="s">
        <v>37</v>
      </c>
      <c r="E172" s="62"/>
      <c r="G172" s="15"/>
      <c r="H172" s="15"/>
      <c r="I172" s="15"/>
      <c r="J172" s="15">
        <v>224962</v>
      </c>
      <c r="K172" s="15"/>
      <c r="L172" s="22"/>
      <c r="M172" s="22"/>
      <c r="N172" s="22"/>
      <c r="O172" s="17">
        <f t="shared" si="22"/>
        <v>224962</v>
      </c>
      <c r="P172" s="19"/>
      <c r="Q172" s="95"/>
      <c r="R172" s="15"/>
      <c r="S172" s="15"/>
      <c r="T172" s="17">
        <v>224962</v>
      </c>
      <c r="U172" s="73">
        <f t="shared" si="23"/>
        <v>224962</v>
      </c>
    </row>
    <row r="173" spans="1:25" hidden="1">
      <c r="A173" s="124">
        <v>4475</v>
      </c>
      <c r="B173" s="16"/>
      <c r="C173" s="16"/>
      <c r="D173" s="62" t="s">
        <v>38</v>
      </c>
      <c r="E173" s="62"/>
      <c r="G173" s="15"/>
      <c r="H173" s="15"/>
      <c r="I173" s="15"/>
      <c r="J173" s="15">
        <v>26209</v>
      </c>
      <c r="K173" s="15"/>
      <c r="L173" s="22"/>
      <c r="M173" s="22"/>
      <c r="N173" s="22"/>
      <c r="O173" s="17">
        <f t="shared" si="22"/>
        <v>26209</v>
      </c>
      <c r="P173" s="19"/>
      <c r="Q173" s="95"/>
      <c r="R173" s="15"/>
      <c r="S173" s="15"/>
      <c r="T173" s="17">
        <v>26209</v>
      </c>
      <c r="U173" s="73">
        <f t="shared" si="23"/>
        <v>26209</v>
      </c>
    </row>
    <row r="174" spans="1:25" hidden="1">
      <c r="A174" s="124">
        <v>4477</v>
      </c>
      <c r="B174" s="16"/>
      <c r="C174" s="16"/>
      <c r="D174" s="62" t="s">
        <v>39</v>
      </c>
      <c r="E174" s="62"/>
      <c r="G174" s="15"/>
      <c r="H174" s="15"/>
      <c r="I174" s="15"/>
      <c r="J174" s="15">
        <v>22967</v>
      </c>
      <c r="K174" s="15"/>
      <c r="L174" s="22"/>
      <c r="M174" s="22"/>
      <c r="N174" s="22"/>
      <c r="O174" s="17">
        <f t="shared" si="22"/>
        <v>22967</v>
      </c>
      <c r="P174" s="19"/>
      <c r="Q174" s="95"/>
      <c r="R174" s="15"/>
      <c r="S174" s="15"/>
      <c r="T174" s="17">
        <v>22967</v>
      </c>
      <c r="U174" s="73">
        <f t="shared" si="23"/>
        <v>22967</v>
      </c>
    </row>
    <row r="175" spans="1:25" hidden="1">
      <c r="A175" s="124">
        <v>4479</v>
      </c>
      <c r="B175" s="16"/>
      <c r="C175" s="16"/>
      <c r="D175" s="62" t="s">
        <v>40</v>
      </c>
      <c r="E175" s="62"/>
      <c r="G175" s="15"/>
      <c r="H175" s="15"/>
      <c r="I175" s="15"/>
      <c r="J175" s="15">
        <v>3272</v>
      </c>
      <c r="K175" s="15"/>
      <c r="L175" s="22"/>
      <c r="M175" s="22"/>
      <c r="N175" s="22"/>
      <c r="O175" s="17">
        <f t="shared" si="22"/>
        <v>3272</v>
      </c>
      <c r="P175" s="19"/>
      <c r="Q175" s="95"/>
      <c r="R175" s="15"/>
      <c r="S175" s="15"/>
      <c r="T175" s="17">
        <v>3272</v>
      </c>
      <c r="U175" s="73">
        <f t="shared" si="23"/>
        <v>3272</v>
      </c>
    </row>
    <row r="176" spans="1:25" hidden="1">
      <c r="A176" s="117">
        <v>4511</v>
      </c>
      <c r="B176" s="16"/>
      <c r="C176" s="16"/>
      <c r="D176" s="62" t="s">
        <v>248</v>
      </c>
      <c r="E176" s="62"/>
      <c r="G176" s="15"/>
      <c r="H176" s="15"/>
      <c r="I176" s="15">
        <v>521018</v>
      </c>
      <c r="J176" s="15">
        <v>539693</v>
      </c>
      <c r="K176" s="15"/>
      <c r="L176" s="22"/>
      <c r="M176" s="22"/>
      <c r="N176" s="22"/>
      <c r="O176" s="17">
        <f t="shared" si="22"/>
        <v>539693</v>
      </c>
      <c r="P176" s="19"/>
      <c r="Q176" s="95"/>
      <c r="R176" s="15"/>
      <c r="S176" s="15"/>
      <c r="T176" s="17">
        <v>539693</v>
      </c>
      <c r="U176" s="73">
        <f t="shared" si="23"/>
        <v>18675</v>
      </c>
      <c r="Y176" s="76">
        <f t="shared" si="24"/>
        <v>3.5843291402600293E-2</v>
      </c>
    </row>
    <row r="177" spans="1:32" hidden="1">
      <c r="A177" s="117">
        <v>4512</v>
      </c>
      <c r="B177" s="16"/>
      <c r="C177" s="16"/>
      <c r="D177" s="62" t="s">
        <v>249</v>
      </c>
      <c r="E177" s="62"/>
      <c r="G177" s="15"/>
      <c r="H177" s="15"/>
      <c r="I177" s="15">
        <v>1740132</v>
      </c>
      <c r="J177" s="15">
        <v>1679196</v>
      </c>
      <c r="K177" s="15"/>
      <c r="L177" s="22"/>
      <c r="M177" s="22"/>
      <c r="N177" s="22"/>
      <c r="O177" s="17">
        <f t="shared" si="22"/>
        <v>1679196</v>
      </c>
      <c r="P177" s="19"/>
      <c r="Q177" s="95"/>
      <c r="R177" s="15"/>
      <c r="S177" s="15"/>
      <c r="T177" s="17">
        <v>1679196</v>
      </c>
      <c r="U177" s="73">
        <f t="shared" si="23"/>
        <v>-60936</v>
      </c>
      <c r="Y177" s="76">
        <f t="shared" si="24"/>
        <v>-3.501803311472923E-2</v>
      </c>
    </row>
    <row r="178" spans="1:32" hidden="1">
      <c r="A178" s="123">
        <v>4629</v>
      </c>
      <c r="B178" s="16"/>
      <c r="C178" s="16"/>
      <c r="D178" s="62" t="s">
        <v>469</v>
      </c>
      <c r="E178" s="62"/>
      <c r="G178" s="15"/>
      <c r="H178" s="15"/>
      <c r="I178" s="15">
        <v>4762</v>
      </c>
      <c r="J178" s="15">
        <v>0</v>
      </c>
      <c r="K178" s="15"/>
      <c r="L178" s="22"/>
      <c r="M178" s="22"/>
      <c r="N178" s="22"/>
      <c r="O178" s="17">
        <f t="shared" si="22"/>
        <v>0</v>
      </c>
      <c r="P178" s="19"/>
      <c r="Q178" s="95"/>
      <c r="R178" s="15"/>
      <c r="S178" s="15"/>
      <c r="T178" s="17">
        <v>0</v>
      </c>
      <c r="U178" s="73">
        <f t="shared" si="23"/>
        <v>-4762</v>
      </c>
      <c r="Y178" s="76">
        <f t="shared" si="24"/>
        <v>-1</v>
      </c>
    </row>
    <row r="179" spans="1:32" hidden="1">
      <c r="A179" s="117">
        <v>4649</v>
      </c>
      <c r="B179" s="16"/>
      <c r="C179" s="16"/>
      <c r="D179" s="62" t="s">
        <v>250</v>
      </c>
      <c r="E179" s="62"/>
      <c r="G179" s="15"/>
      <c r="H179" s="15"/>
      <c r="I179" s="15">
        <v>-844</v>
      </c>
      <c r="J179" s="15">
        <v>-887</v>
      </c>
      <c r="K179" s="15"/>
      <c r="L179" s="22"/>
      <c r="M179" s="22"/>
      <c r="N179" s="22"/>
      <c r="O179" s="17">
        <f t="shared" si="22"/>
        <v>-887</v>
      </c>
      <c r="P179" s="19"/>
      <c r="Q179" s="95"/>
      <c r="R179" s="15"/>
      <c r="S179" s="15"/>
      <c r="T179" s="17">
        <v>-887</v>
      </c>
      <c r="U179" s="73">
        <f t="shared" si="23"/>
        <v>-43</v>
      </c>
      <c r="Y179" s="76">
        <f t="shared" si="24"/>
        <v>5.0947867298578198E-2</v>
      </c>
    </row>
    <row r="180" spans="1:32" hidden="1">
      <c r="A180" s="124">
        <v>4711</v>
      </c>
      <c r="B180" s="16"/>
      <c r="C180" s="16"/>
      <c r="D180" s="62" t="s">
        <v>41</v>
      </c>
      <c r="E180" s="62"/>
      <c r="G180" s="15"/>
      <c r="H180" s="15"/>
      <c r="I180" s="15"/>
      <c r="J180" s="15">
        <v>4953895</v>
      </c>
      <c r="K180" s="15"/>
      <c r="L180" s="22"/>
      <c r="M180" s="22"/>
      <c r="N180" s="22"/>
      <c r="O180" s="17">
        <f t="shared" si="22"/>
        <v>4953895</v>
      </c>
      <c r="P180" s="19"/>
      <c r="Q180" s="95"/>
      <c r="R180" s="15"/>
      <c r="S180" s="15"/>
      <c r="T180" s="17">
        <v>4953895</v>
      </c>
      <c r="U180" s="73">
        <f t="shared" si="23"/>
        <v>4953895</v>
      </c>
    </row>
    <row r="181" spans="1:32" hidden="1">
      <c r="A181" s="124">
        <v>4726</v>
      </c>
      <c r="B181" s="16"/>
      <c r="C181" s="16"/>
      <c r="D181" s="62" t="s">
        <v>42</v>
      </c>
      <c r="E181" s="62"/>
      <c r="G181" s="15"/>
      <c r="H181" s="15"/>
      <c r="I181" s="15"/>
      <c r="J181" s="15">
        <v>1566290</v>
      </c>
      <c r="K181" s="15"/>
      <c r="L181" s="22"/>
      <c r="M181" s="22"/>
      <c r="N181" s="22"/>
      <c r="O181" s="17">
        <f t="shared" si="22"/>
        <v>1566290</v>
      </c>
      <c r="P181" s="19"/>
      <c r="Q181" s="95"/>
      <c r="R181" s="15"/>
      <c r="S181" s="15"/>
      <c r="T181" s="17">
        <v>1566290</v>
      </c>
      <c r="U181" s="73">
        <f t="shared" si="23"/>
        <v>1566290</v>
      </c>
    </row>
    <row r="182" spans="1:32" hidden="1">
      <c r="A182" s="117">
        <v>4731</v>
      </c>
      <c r="B182" s="16"/>
      <c r="C182" s="16"/>
      <c r="D182" s="62" t="s">
        <v>462</v>
      </c>
      <c r="E182" s="62"/>
      <c r="G182" s="15"/>
      <c r="H182" s="15"/>
      <c r="I182" s="15">
        <v>0</v>
      </c>
      <c r="J182" s="15">
        <v>-6529858</v>
      </c>
      <c r="K182" s="15"/>
      <c r="L182" s="22"/>
      <c r="M182" s="22"/>
      <c r="N182" s="22"/>
      <c r="O182" s="17">
        <f t="shared" si="22"/>
        <v>-6529858</v>
      </c>
      <c r="P182" s="19"/>
      <c r="Q182" s="95"/>
      <c r="R182" s="15"/>
      <c r="S182" s="15"/>
      <c r="T182" s="17">
        <v>-6529858</v>
      </c>
      <c r="U182" s="73">
        <f t="shared" si="23"/>
        <v>-6529858</v>
      </c>
    </row>
    <row r="183" spans="1:32" s="8" customFormat="1" hidden="1">
      <c r="A183" s="116"/>
      <c r="B183" s="4"/>
      <c r="C183" s="4" t="s">
        <v>251</v>
      </c>
      <c r="E183" s="61"/>
      <c r="F183" s="61"/>
      <c r="G183" s="39">
        <f>+SUM(G120:G182)</f>
        <v>116622006</v>
      </c>
      <c r="H183" s="39">
        <f>+SUM(H120:H182)</f>
        <v>128448914</v>
      </c>
      <c r="I183" s="39">
        <v>136882401</v>
      </c>
      <c r="J183" s="39">
        <f>+SUM(J120:J182)</f>
        <v>139790155</v>
      </c>
      <c r="K183" s="39">
        <f>+SUM(K120:K179)</f>
        <v>0</v>
      </c>
      <c r="L183" s="39">
        <f>+SUM(L120:L179)</f>
        <v>0</v>
      </c>
      <c r="M183" s="39">
        <f>+SUM(M120:M179)</f>
        <v>0</v>
      </c>
      <c r="N183" s="39">
        <f>+SUM(N120:N179)</f>
        <v>0</v>
      </c>
      <c r="O183" s="39">
        <f>+SUM(O120:O182)</f>
        <v>139790155</v>
      </c>
      <c r="P183" s="39">
        <f>+SUM(P120:P182)</f>
        <v>32191</v>
      </c>
      <c r="Q183" s="95"/>
      <c r="R183" s="39">
        <f>+SUM(R120:R179)</f>
        <v>0</v>
      </c>
      <c r="S183" s="39"/>
      <c r="T183" s="21">
        <v>139822346</v>
      </c>
      <c r="U183" s="107">
        <f t="shared" si="23"/>
        <v>2939945</v>
      </c>
      <c r="Y183" s="81">
        <f t="shared" si="24"/>
        <v>2.1477888892378501E-2</v>
      </c>
      <c r="Z183" s="90"/>
      <c r="AA183" s="11"/>
      <c r="AB183" s="11"/>
      <c r="AC183" s="11"/>
      <c r="AD183" s="11"/>
      <c r="AE183" s="11"/>
      <c r="AF183" s="11"/>
    </row>
    <row r="184" spans="1:32" hidden="1">
      <c r="A184" s="117">
        <v>5172</v>
      </c>
      <c r="B184" s="63" t="s">
        <v>101</v>
      </c>
      <c r="D184" s="57"/>
      <c r="E184" s="58"/>
      <c r="F184" s="63"/>
      <c r="G184" s="35">
        <v>8660645</v>
      </c>
      <c r="H184" s="35">
        <v>8371476</v>
      </c>
      <c r="I184" s="35">
        <v>7642672.4500000002</v>
      </c>
      <c r="J184" s="35">
        <v>7277679</v>
      </c>
      <c r="K184" s="35"/>
      <c r="L184" s="64"/>
      <c r="M184" s="64"/>
      <c r="N184" s="64"/>
      <c r="O184" s="35">
        <f t="shared" ref="O184:O227" si="25">SUM(J184:N184)</f>
        <v>7277679</v>
      </c>
      <c r="P184" s="35"/>
      <c r="Q184" s="95" t="s">
        <v>94</v>
      </c>
      <c r="R184" s="35">
        <v>147508.89000000001</v>
      </c>
      <c r="S184" s="35"/>
      <c r="T184" s="21">
        <v>7130170.1100000003</v>
      </c>
      <c r="U184" s="73">
        <f>T184-I184</f>
        <v>-512502.33999999985</v>
      </c>
      <c r="Y184" s="76">
        <f t="shared" si="24"/>
        <v>-6.7058001419385685E-2</v>
      </c>
    </row>
    <row r="185" spans="1:32" hidden="1">
      <c r="A185" s="117"/>
      <c r="B185" s="61" t="s">
        <v>102</v>
      </c>
      <c r="D185" s="16"/>
      <c r="F185" s="62"/>
      <c r="G185" s="15">
        <v>9939202</v>
      </c>
      <c r="H185" s="15">
        <v>10944656</v>
      </c>
      <c r="I185" s="15"/>
      <c r="J185" s="15"/>
      <c r="K185" s="15"/>
      <c r="L185" s="22"/>
      <c r="M185" s="22"/>
      <c r="N185" s="22"/>
      <c r="O185" s="17">
        <f t="shared" si="25"/>
        <v>0</v>
      </c>
      <c r="P185" s="15"/>
      <c r="Q185" s="95"/>
      <c r="R185" s="15"/>
      <c r="S185" s="15"/>
      <c r="T185" s="17"/>
      <c r="Y185" s="76" t="e">
        <f t="shared" si="24"/>
        <v>#DIV/0!</v>
      </c>
    </row>
    <row r="186" spans="1:32" hidden="1">
      <c r="A186" s="123">
        <v>5111</v>
      </c>
      <c r="B186" s="61"/>
      <c r="D186" s="16" t="s">
        <v>470</v>
      </c>
      <c r="F186" s="62"/>
      <c r="G186" s="15"/>
      <c r="H186" s="15"/>
      <c r="I186" s="15">
        <v>-26</v>
      </c>
      <c r="J186" s="15">
        <v>0</v>
      </c>
      <c r="K186" s="15"/>
      <c r="L186" s="22"/>
      <c r="M186" s="22"/>
      <c r="N186" s="22"/>
      <c r="O186" s="17">
        <f t="shared" si="25"/>
        <v>0</v>
      </c>
      <c r="P186" s="15"/>
      <c r="Q186" s="95" t="s">
        <v>25</v>
      </c>
      <c r="R186" s="15">
        <f>26</f>
        <v>26</v>
      </c>
      <c r="S186" s="15"/>
      <c r="T186" s="17">
        <v>-26</v>
      </c>
      <c r="U186" s="73">
        <f t="shared" ref="U186:U249" si="26">T186-I186</f>
        <v>0</v>
      </c>
    </row>
    <row r="187" spans="1:32" hidden="1">
      <c r="A187" s="117">
        <v>5121</v>
      </c>
      <c r="B187" s="16"/>
      <c r="C187" s="16"/>
      <c r="D187" s="16" t="s">
        <v>252</v>
      </c>
      <c r="E187" s="62"/>
      <c r="F187" s="62"/>
      <c r="G187" s="15"/>
      <c r="H187" s="15"/>
      <c r="I187" s="15">
        <v>51864</v>
      </c>
      <c r="J187" s="15">
        <v>43712</v>
      </c>
      <c r="K187" s="15"/>
      <c r="L187" s="22"/>
      <c r="M187" s="22"/>
      <c r="N187" s="22"/>
      <c r="O187" s="17">
        <f t="shared" si="25"/>
        <v>43712</v>
      </c>
      <c r="P187" s="19"/>
      <c r="Q187" s="95"/>
      <c r="R187" s="15"/>
      <c r="S187" s="15"/>
      <c r="T187" s="17">
        <v>43712</v>
      </c>
      <c r="U187" s="73">
        <f t="shared" si="26"/>
        <v>-8152</v>
      </c>
      <c r="Y187" s="76">
        <f t="shared" si="24"/>
        <v>-0.15718031775412616</v>
      </c>
    </row>
    <row r="188" spans="1:32" hidden="1">
      <c r="A188" s="123">
        <v>5122</v>
      </c>
      <c r="B188" s="16"/>
      <c r="C188" s="16"/>
      <c r="D188" s="16" t="s">
        <v>471</v>
      </c>
      <c r="E188" s="62"/>
      <c r="F188" s="62"/>
      <c r="G188" s="15"/>
      <c r="H188" s="15"/>
      <c r="I188" s="15">
        <v>92</v>
      </c>
      <c r="J188" s="15">
        <v>0</v>
      </c>
      <c r="K188" s="15"/>
      <c r="L188" s="22"/>
      <c r="M188" s="22"/>
      <c r="N188" s="22"/>
      <c r="O188" s="17">
        <f t="shared" si="25"/>
        <v>0</v>
      </c>
      <c r="P188" s="19"/>
      <c r="Q188" s="95"/>
      <c r="R188" s="15"/>
      <c r="S188" s="15"/>
      <c r="T188" s="17">
        <v>0</v>
      </c>
      <c r="U188" s="73">
        <f t="shared" si="26"/>
        <v>-92</v>
      </c>
      <c r="Y188" s="76">
        <f t="shared" si="24"/>
        <v>-1</v>
      </c>
    </row>
    <row r="189" spans="1:32" hidden="1">
      <c r="A189" s="117">
        <v>5124</v>
      </c>
      <c r="B189" s="16"/>
      <c r="C189" s="16"/>
      <c r="D189" s="16" t="s">
        <v>253</v>
      </c>
      <c r="E189" s="62"/>
      <c r="F189" s="62"/>
      <c r="G189" s="15"/>
      <c r="H189" s="15"/>
      <c r="I189" s="15">
        <v>54698</v>
      </c>
      <c r="J189" s="15">
        <v>9125</v>
      </c>
      <c r="K189" s="15"/>
      <c r="L189" s="22"/>
      <c r="M189" s="22"/>
      <c r="N189" s="22"/>
      <c r="O189" s="17">
        <f t="shared" si="25"/>
        <v>9125</v>
      </c>
      <c r="P189" s="19"/>
      <c r="Q189" s="95"/>
      <c r="R189" s="15"/>
      <c r="S189" s="15"/>
      <c r="T189" s="17">
        <v>9125</v>
      </c>
      <c r="U189" s="73">
        <f t="shared" si="26"/>
        <v>-45573</v>
      </c>
      <c r="Y189" s="76">
        <f t="shared" si="24"/>
        <v>-0.8331748875644448</v>
      </c>
    </row>
    <row r="190" spans="1:32" hidden="1">
      <c r="A190" s="117">
        <v>5141</v>
      </c>
      <c r="B190" s="16"/>
      <c r="C190" s="16"/>
      <c r="D190" s="16" t="s">
        <v>254</v>
      </c>
      <c r="E190" s="62"/>
      <c r="F190" s="62"/>
      <c r="G190" s="15"/>
      <c r="H190" s="15"/>
      <c r="I190" s="15">
        <v>133644</v>
      </c>
      <c r="J190" s="15">
        <v>197959</v>
      </c>
      <c r="K190" s="15"/>
      <c r="L190" s="22"/>
      <c r="M190" s="22"/>
      <c r="N190" s="22"/>
      <c r="O190" s="17">
        <f t="shared" si="25"/>
        <v>197959</v>
      </c>
      <c r="P190" s="19"/>
      <c r="Q190" s="95"/>
      <c r="R190" s="15"/>
      <c r="S190" s="15"/>
      <c r="T190" s="17">
        <v>197959</v>
      </c>
      <c r="U190" s="73">
        <f t="shared" si="26"/>
        <v>64315</v>
      </c>
      <c r="Y190" s="76">
        <f t="shared" si="24"/>
        <v>0.48124120798539405</v>
      </c>
    </row>
    <row r="191" spans="1:32" hidden="1">
      <c r="A191" s="117">
        <v>5142</v>
      </c>
      <c r="B191" s="16"/>
      <c r="C191" s="16"/>
      <c r="D191" s="16" t="s">
        <v>255</v>
      </c>
      <c r="E191" s="62"/>
      <c r="F191" s="62"/>
      <c r="G191" s="15"/>
      <c r="H191" s="15"/>
      <c r="I191" s="15">
        <v>27708</v>
      </c>
      <c r="J191" s="15">
        <v>17615</v>
      </c>
      <c r="K191" s="15"/>
      <c r="L191" s="22"/>
      <c r="M191" s="22"/>
      <c r="N191" s="22"/>
      <c r="O191" s="17">
        <f t="shared" si="25"/>
        <v>17615</v>
      </c>
      <c r="P191" s="19"/>
      <c r="Q191" s="95"/>
      <c r="R191" s="15"/>
      <c r="S191" s="15"/>
      <c r="T191" s="17">
        <v>17615</v>
      </c>
      <c r="U191" s="73">
        <f t="shared" si="26"/>
        <v>-10093</v>
      </c>
      <c r="Y191" s="76">
        <f t="shared" si="24"/>
        <v>-0.36426302872816513</v>
      </c>
    </row>
    <row r="192" spans="1:32" hidden="1">
      <c r="A192" s="117">
        <v>5143</v>
      </c>
      <c r="B192" s="16"/>
      <c r="C192" s="16"/>
      <c r="D192" s="16" t="s">
        <v>256</v>
      </c>
      <c r="E192" s="62"/>
      <c r="F192" s="62"/>
      <c r="G192" s="15"/>
      <c r="H192" s="15"/>
      <c r="I192" s="15">
        <v>47695</v>
      </c>
      <c r="J192" s="15">
        <v>87598</v>
      </c>
      <c r="K192" s="15"/>
      <c r="L192" s="22"/>
      <c r="M192" s="22"/>
      <c r="N192" s="22"/>
      <c r="O192" s="17">
        <f t="shared" si="25"/>
        <v>87598</v>
      </c>
      <c r="P192" s="19"/>
      <c r="Q192" s="95"/>
      <c r="R192" s="15"/>
      <c r="S192" s="15"/>
      <c r="T192" s="17">
        <v>87598</v>
      </c>
      <c r="U192" s="73">
        <f t="shared" si="26"/>
        <v>39903</v>
      </c>
      <c r="Y192" s="76">
        <f t="shared" si="24"/>
        <v>0.83662857741901664</v>
      </c>
    </row>
    <row r="193" spans="1:25" hidden="1">
      <c r="A193" s="117">
        <v>5144</v>
      </c>
      <c r="B193" s="16"/>
      <c r="C193" s="16"/>
      <c r="D193" s="16" t="s">
        <v>257</v>
      </c>
      <c r="E193" s="62"/>
      <c r="F193" s="62"/>
      <c r="G193" s="15"/>
      <c r="H193" s="15"/>
      <c r="I193" s="15">
        <v>83398</v>
      </c>
      <c r="J193" s="15">
        <v>132244</v>
      </c>
      <c r="K193" s="15"/>
      <c r="L193" s="15"/>
      <c r="M193" s="15"/>
      <c r="N193" s="15"/>
      <c r="O193" s="15">
        <f t="shared" si="25"/>
        <v>132244</v>
      </c>
      <c r="P193" s="19"/>
      <c r="Q193" s="95"/>
      <c r="R193" s="15"/>
      <c r="S193" s="15"/>
      <c r="T193" s="17">
        <v>132244</v>
      </c>
      <c r="U193" s="73">
        <f t="shared" si="26"/>
        <v>48846</v>
      </c>
      <c r="Y193" s="76">
        <f t="shared" si="24"/>
        <v>0.58569749874097699</v>
      </c>
    </row>
    <row r="194" spans="1:25" hidden="1">
      <c r="A194" s="119">
        <v>5145</v>
      </c>
      <c r="D194" s="1" t="s">
        <v>258</v>
      </c>
      <c r="I194" s="1">
        <v>244080</v>
      </c>
      <c r="J194" s="15">
        <v>310149</v>
      </c>
      <c r="K194" s="15"/>
      <c r="L194" s="15"/>
      <c r="M194" s="15"/>
      <c r="N194" s="15"/>
      <c r="O194" s="15">
        <f t="shared" si="25"/>
        <v>310149</v>
      </c>
      <c r="Q194" s="96"/>
      <c r="T194" s="17">
        <v>310149</v>
      </c>
      <c r="U194" s="73">
        <f t="shared" si="26"/>
        <v>66069</v>
      </c>
      <c r="Y194" s="76">
        <f t="shared" si="24"/>
        <v>0.27068584070796459</v>
      </c>
    </row>
    <row r="195" spans="1:25" hidden="1">
      <c r="A195" s="119">
        <v>5146</v>
      </c>
      <c r="D195" s="1" t="s">
        <v>259</v>
      </c>
      <c r="I195" s="1">
        <v>262303</v>
      </c>
      <c r="J195" s="15">
        <v>389105</v>
      </c>
      <c r="K195" s="15"/>
      <c r="L195" s="15"/>
      <c r="M195" s="15"/>
      <c r="N195" s="15"/>
      <c r="O195" s="15">
        <f t="shared" si="25"/>
        <v>389105</v>
      </c>
      <c r="Q195" s="96"/>
      <c r="T195" s="17">
        <v>389105</v>
      </c>
      <c r="U195" s="73">
        <f t="shared" si="26"/>
        <v>126802</v>
      </c>
      <c r="Y195" s="76">
        <f t="shared" si="24"/>
        <v>0.48341803181816451</v>
      </c>
    </row>
    <row r="196" spans="1:25" hidden="1">
      <c r="A196" s="117">
        <v>5147</v>
      </c>
      <c r="B196" s="16"/>
      <c r="C196" s="16"/>
      <c r="D196" s="16" t="s">
        <v>260</v>
      </c>
      <c r="E196" s="62"/>
      <c r="F196" s="62"/>
      <c r="G196" s="15"/>
      <c r="H196" s="15"/>
      <c r="I196" s="15">
        <v>819737</v>
      </c>
      <c r="J196" s="15">
        <v>998655</v>
      </c>
      <c r="K196" s="15"/>
      <c r="L196" s="15"/>
      <c r="M196" s="15"/>
      <c r="N196" s="15"/>
      <c r="O196" s="15">
        <f t="shared" si="25"/>
        <v>998655</v>
      </c>
      <c r="P196" s="19"/>
      <c r="Q196" s="95"/>
      <c r="R196" s="15"/>
      <c r="S196" s="15"/>
      <c r="T196" s="17">
        <v>998655</v>
      </c>
      <c r="U196" s="73">
        <f t="shared" si="26"/>
        <v>178918</v>
      </c>
      <c r="Y196" s="76">
        <f t="shared" si="24"/>
        <v>0.21826268669097529</v>
      </c>
    </row>
    <row r="197" spans="1:25" hidden="1">
      <c r="A197" s="117">
        <v>5148</v>
      </c>
      <c r="B197" s="16"/>
      <c r="C197" s="16"/>
      <c r="D197" s="16" t="s">
        <v>261</v>
      </c>
      <c r="E197" s="62"/>
      <c r="F197" s="62"/>
      <c r="G197" s="15"/>
      <c r="H197" s="15"/>
      <c r="I197" s="15">
        <v>14523</v>
      </c>
      <c r="J197" s="15">
        <v>2978</v>
      </c>
      <c r="K197" s="15"/>
      <c r="L197" s="15"/>
      <c r="M197" s="15"/>
      <c r="N197" s="15"/>
      <c r="O197" s="15">
        <f t="shared" si="25"/>
        <v>2978</v>
      </c>
      <c r="P197" s="19"/>
      <c r="Q197" s="95"/>
      <c r="R197" s="15"/>
      <c r="S197" s="15"/>
      <c r="T197" s="17">
        <v>2978</v>
      </c>
      <c r="U197" s="73">
        <f t="shared" si="26"/>
        <v>-11545</v>
      </c>
      <c r="Y197" s="76">
        <f t="shared" si="24"/>
        <v>-0.79494594780692696</v>
      </c>
    </row>
    <row r="198" spans="1:25" hidden="1">
      <c r="A198" s="117">
        <v>5151</v>
      </c>
      <c r="B198" s="16"/>
      <c r="C198" s="16"/>
      <c r="D198" s="16" t="s">
        <v>262</v>
      </c>
      <c r="E198" s="62"/>
      <c r="F198" s="62"/>
      <c r="G198" s="15"/>
      <c r="H198" s="15"/>
      <c r="I198" s="15">
        <v>108100</v>
      </c>
      <c r="J198" s="15">
        <v>108513</v>
      </c>
      <c r="K198" s="15"/>
      <c r="L198" s="22"/>
      <c r="M198" s="22"/>
      <c r="N198" s="22"/>
      <c r="O198" s="17">
        <f t="shared" si="25"/>
        <v>108513</v>
      </c>
      <c r="P198" s="19"/>
      <c r="Q198" s="95"/>
      <c r="R198" s="15"/>
      <c r="S198" s="15"/>
      <c r="T198" s="17">
        <v>108513</v>
      </c>
      <c r="U198" s="73">
        <f t="shared" si="26"/>
        <v>413</v>
      </c>
      <c r="Y198" s="76">
        <f t="shared" si="24"/>
        <v>3.8205365402405179E-3</v>
      </c>
    </row>
    <row r="199" spans="1:25" hidden="1">
      <c r="A199" s="124">
        <v>5152</v>
      </c>
      <c r="B199" s="16"/>
      <c r="C199" s="16"/>
      <c r="D199" s="16" t="s">
        <v>43</v>
      </c>
      <c r="E199" s="62"/>
      <c r="F199" s="62"/>
      <c r="G199" s="15"/>
      <c r="H199" s="15"/>
      <c r="I199" s="15"/>
      <c r="J199" s="15">
        <v>244</v>
      </c>
      <c r="K199" s="15"/>
      <c r="L199" s="22"/>
      <c r="M199" s="22"/>
      <c r="N199" s="22"/>
      <c r="O199" s="17">
        <f t="shared" si="25"/>
        <v>244</v>
      </c>
      <c r="P199" s="19"/>
      <c r="Q199" s="95"/>
      <c r="R199" s="15"/>
      <c r="S199" s="15"/>
      <c r="T199" s="17">
        <v>244</v>
      </c>
      <c r="U199" s="73">
        <f t="shared" si="26"/>
        <v>244</v>
      </c>
    </row>
    <row r="200" spans="1:25" hidden="1">
      <c r="A200" s="117">
        <v>5156</v>
      </c>
      <c r="B200" s="16"/>
      <c r="C200" s="16"/>
      <c r="D200" s="16" t="s">
        <v>263</v>
      </c>
      <c r="E200" s="62"/>
      <c r="F200" s="62"/>
      <c r="G200" s="15"/>
      <c r="H200" s="15"/>
      <c r="I200" s="15">
        <v>494213</v>
      </c>
      <c r="J200" s="15">
        <v>572444</v>
      </c>
      <c r="K200" s="15"/>
      <c r="L200" s="22"/>
      <c r="M200" s="22"/>
      <c r="N200" s="22"/>
      <c r="O200" s="17">
        <f t="shared" si="25"/>
        <v>572444</v>
      </c>
      <c r="P200" s="19"/>
      <c r="Q200" s="95"/>
      <c r="R200" s="15"/>
      <c r="S200" s="15"/>
      <c r="T200" s="17">
        <v>572444</v>
      </c>
      <c r="U200" s="73">
        <f t="shared" si="26"/>
        <v>78231</v>
      </c>
      <c r="Y200" s="76">
        <f t="shared" si="24"/>
        <v>0.15829409586554785</v>
      </c>
    </row>
    <row r="201" spans="1:25" hidden="1">
      <c r="A201" s="117">
        <v>5161</v>
      </c>
      <c r="B201" s="16"/>
      <c r="C201" s="16"/>
      <c r="D201" s="16" t="s">
        <v>264</v>
      </c>
      <c r="E201" s="62"/>
      <c r="F201" s="62"/>
      <c r="G201" s="15"/>
      <c r="H201" s="15"/>
      <c r="I201" s="15">
        <v>1029828</v>
      </c>
      <c r="J201" s="15">
        <v>954227</v>
      </c>
      <c r="K201" s="15"/>
      <c r="L201" s="22"/>
      <c r="M201" s="22"/>
      <c r="N201" s="22"/>
      <c r="O201" s="17">
        <f t="shared" si="25"/>
        <v>954227</v>
      </c>
      <c r="P201" s="19"/>
      <c r="Q201" s="95"/>
      <c r="R201" s="15"/>
      <c r="S201" s="15"/>
      <c r="T201" s="17">
        <v>954227</v>
      </c>
      <c r="U201" s="73">
        <f t="shared" si="26"/>
        <v>-75601</v>
      </c>
      <c r="Y201" s="76">
        <f t="shared" si="24"/>
        <v>-7.3411288098595109E-2</v>
      </c>
    </row>
    <row r="202" spans="1:25" hidden="1">
      <c r="A202" s="117">
        <v>5163</v>
      </c>
      <c r="D202" s="1" t="s">
        <v>265</v>
      </c>
      <c r="F202" s="62"/>
      <c r="G202" s="15"/>
      <c r="H202" s="15"/>
      <c r="I202" s="15">
        <v>1165613</v>
      </c>
      <c r="J202" s="15">
        <v>1162229</v>
      </c>
      <c r="K202" s="15"/>
      <c r="L202" s="22"/>
      <c r="M202" s="22"/>
      <c r="N202" s="22"/>
      <c r="O202" s="17">
        <f t="shared" si="25"/>
        <v>1162229</v>
      </c>
      <c r="P202" s="19"/>
      <c r="Q202" s="95"/>
      <c r="R202" s="15"/>
      <c r="S202" s="15"/>
      <c r="T202" s="17">
        <v>1162229</v>
      </c>
      <c r="U202" s="73">
        <f t="shared" si="26"/>
        <v>-3384</v>
      </c>
      <c r="Y202" s="76">
        <f t="shared" si="24"/>
        <v>-2.9031934269779076E-3</v>
      </c>
    </row>
    <row r="203" spans="1:25" hidden="1">
      <c r="A203" s="117">
        <v>5164</v>
      </c>
      <c r="D203" s="1" t="s">
        <v>266</v>
      </c>
      <c r="I203" s="1">
        <v>196403</v>
      </c>
      <c r="J203" s="15">
        <v>195902</v>
      </c>
      <c r="K203" s="15"/>
      <c r="L203" s="15"/>
      <c r="M203" s="15"/>
      <c r="N203" s="15"/>
      <c r="O203" s="15">
        <f t="shared" si="25"/>
        <v>195902</v>
      </c>
      <c r="Q203" s="96"/>
      <c r="T203" s="17">
        <v>195902</v>
      </c>
      <c r="U203" s="73">
        <f t="shared" si="26"/>
        <v>-501</v>
      </c>
      <c r="Y203" s="76">
        <f t="shared" si="24"/>
        <v>-2.5508775324205842E-3</v>
      </c>
    </row>
    <row r="204" spans="1:25" hidden="1">
      <c r="A204" s="117">
        <v>5165</v>
      </c>
      <c r="B204" s="16"/>
      <c r="C204" s="16"/>
      <c r="D204" s="16" t="s">
        <v>267</v>
      </c>
      <c r="E204" s="62"/>
      <c r="I204" s="1">
        <v>4893705</v>
      </c>
      <c r="J204" s="15">
        <v>4951477</v>
      </c>
      <c r="K204" s="15"/>
      <c r="L204" s="15"/>
      <c r="M204" s="15"/>
      <c r="N204" s="15"/>
      <c r="O204" s="15">
        <f t="shared" si="25"/>
        <v>4951477</v>
      </c>
      <c r="P204" s="1">
        <v>0</v>
      </c>
      <c r="Q204" s="96"/>
      <c r="T204" s="17">
        <v>4951477</v>
      </c>
      <c r="U204" s="73">
        <f t="shared" si="26"/>
        <v>57772</v>
      </c>
      <c r="Y204" s="76">
        <f t="shared" si="24"/>
        <v>1.1805370368667502E-2</v>
      </c>
    </row>
    <row r="205" spans="1:25" hidden="1">
      <c r="A205" s="117">
        <v>5166</v>
      </c>
      <c r="D205" s="1" t="s">
        <v>268</v>
      </c>
      <c r="F205" s="62"/>
      <c r="G205" s="15"/>
      <c r="H205" s="15"/>
      <c r="I205" s="15">
        <v>281577</v>
      </c>
      <c r="J205" s="15">
        <v>298088</v>
      </c>
      <c r="K205" s="15"/>
      <c r="L205" s="15"/>
      <c r="M205" s="15"/>
      <c r="N205" s="15"/>
      <c r="O205" s="15">
        <f t="shared" si="25"/>
        <v>298088</v>
      </c>
      <c r="P205" s="19"/>
      <c r="Q205" s="95"/>
      <c r="R205" s="15"/>
      <c r="S205" s="15"/>
      <c r="T205" s="17">
        <v>298088</v>
      </c>
      <c r="U205" s="73">
        <f t="shared" si="26"/>
        <v>16511</v>
      </c>
      <c r="Y205" s="76">
        <f t="shared" si="24"/>
        <v>5.8637601792760063E-2</v>
      </c>
    </row>
    <row r="206" spans="1:25" hidden="1">
      <c r="A206" s="117">
        <v>5167</v>
      </c>
      <c r="D206" s="1" t="s">
        <v>269</v>
      </c>
      <c r="I206" s="1">
        <v>11433</v>
      </c>
      <c r="J206" s="15">
        <v>4663</v>
      </c>
      <c r="K206" s="15"/>
      <c r="L206" s="15"/>
      <c r="M206" s="15"/>
      <c r="N206" s="15"/>
      <c r="O206" s="15">
        <f t="shared" si="25"/>
        <v>4663</v>
      </c>
      <c r="Q206" s="96"/>
      <c r="T206" s="17">
        <v>4663</v>
      </c>
      <c r="U206" s="73">
        <f t="shared" si="26"/>
        <v>-6770</v>
      </c>
      <c r="Y206" s="76">
        <f t="shared" si="24"/>
        <v>-0.59214554360185423</v>
      </c>
    </row>
    <row r="207" spans="1:25" hidden="1">
      <c r="A207" s="117">
        <v>5168</v>
      </c>
      <c r="B207" s="16"/>
      <c r="C207" s="16"/>
      <c r="D207" s="16" t="s">
        <v>270</v>
      </c>
      <c r="E207" s="62"/>
      <c r="I207" s="1">
        <v>22093</v>
      </c>
      <c r="J207" s="15">
        <v>23609</v>
      </c>
      <c r="K207" s="15"/>
      <c r="L207" s="15"/>
      <c r="M207" s="15"/>
      <c r="N207" s="15"/>
      <c r="O207" s="15">
        <f t="shared" si="25"/>
        <v>23609</v>
      </c>
      <c r="Q207" s="96"/>
      <c r="T207" s="17">
        <v>23609</v>
      </c>
      <c r="U207" s="73">
        <f t="shared" si="26"/>
        <v>1516</v>
      </c>
      <c r="Y207" s="76">
        <f t="shared" si="24"/>
        <v>6.8619019598968004E-2</v>
      </c>
    </row>
    <row r="208" spans="1:25" hidden="1">
      <c r="A208" s="119">
        <v>5171</v>
      </c>
      <c r="D208" s="1" t="s">
        <v>271</v>
      </c>
      <c r="F208" s="62"/>
      <c r="G208" s="15"/>
      <c r="H208" s="15"/>
      <c r="I208" s="15">
        <v>82301</v>
      </c>
      <c r="J208" s="15">
        <v>75616</v>
      </c>
      <c r="K208" s="15"/>
      <c r="L208" s="15"/>
      <c r="M208" s="15"/>
      <c r="N208" s="15"/>
      <c r="O208" s="15">
        <f t="shared" si="25"/>
        <v>75616</v>
      </c>
      <c r="P208" s="19"/>
      <c r="Q208" s="95"/>
      <c r="R208" s="15"/>
      <c r="S208" s="15"/>
      <c r="T208" s="17">
        <v>75616</v>
      </c>
      <c r="U208" s="73">
        <f t="shared" si="26"/>
        <v>-6685</v>
      </c>
      <c r="Y208" s="76">
        <f t="shared" si="24"/>
        <v>-8.1226230543978803E-2</v>
      </c>
    </row>
    <row r="209" spans="1:25" hidden="1">
      <c r="A209" s="119">
        <v>5192</v>
      </c>
      <c r="D209" s="1" t="s">
        <v>272</v>
      </c>
      <c r="I209" s="1">
        <v>0</v>
      </c>
      <c r="J209" s="15"/>
      <c r="K209" s="15"/>
      <c r="L209" s="15"/>
      <c r="M209" s="15"/>
      <c r="N209" s="15"/>
      <c r="O209" s="15">
        <f t="shared" si="25"/>
        <v>0</v>
      </c>
      <c r="Q209" s="96"/>
      <c r="T209" s="17">
        <v>0</v>
      </c>
      <c r="U209" s="73">
        <f t="shared" si="26"/>
        <v>0</v>
      </c>
    </row>
    <row r="210" spans="1:25" hidden="1">
      <c r="A210" s="119">
        <v>5193</v>
      </c>
      <c r="D210" s="1" t="s">
        <v>273</v>
      </c>
      <c r="I210" s="1">
        <v>324953</v>
      </c>
      <c r="J210" s="15">
        <v>344551</v>
      </c>
      <c r="K210" s="15"/>
      <c r="L210" s="15"/>
      <c r="M210" s="15"/>
      <c r="N210" s="15"/>
      <c r="O210" s="15">
        <f t="shared" si="25"/>
        <v>344551</v>
      </c>
      <c r="Q210" s="96"/>
      <c r="T210" s="17">
        <v>344551</v>
      </c>
      <c r="U210" s="73">
        <f t="shared" si="26"/>
        <v>19598</v>
      </c>
      <c r="Y210" s="76">
        <f t="shared" si="24"/>
        <v>6.0310260253021206E-2</v>
      </c>
    </row>
    <row r="211" spans="1:25" hidden="1">
      <c r="A211" s="117">
        <v>5198</v>
      </c>
      <c r="B211" s="16"/>
      <c r="C211" s="16"/>
      <c r="D211" s="16" t="s">
        <v>274</v>
      </c>
      <c r="E211" s="62"/>
      <c r="F211" s="62"/>
      <c r="G211" s="15"/>
      <c r="H211" s="15"/>
      <c r="I211" s="15">
        <v>46043</v>
      </c>
      <c r="J211" s="15">
        <v>30567</v>
      </c>
      <c r="K211" s="15"/>
      <c r="L211" s="15"/>
      <c r="M211" s="15"/>
      <c r="N211" s="15"/>
      <c r="O211" s="15">
        <f t="shared" si="25"/>
        <v>30567</v>
      </c>
      <c r="P211" s="19"/>
      <c r="Q211" s="95"/>
      <c r="R211" s="15"/>
      <c r="S211" s="15"/>
      <c r="T211" s="17">
        <v>30567</v>
      </c>
      <c r="U211" s="73">
        <f t="shared" si="26"/>
        <v>-15476</v>
      </c>
      <c r="Y211" s="76">
        <f t="shared" si="24"/>
        <v>-0.3361205829333449</v>
      </c>
    </row>
    <row r="212" spans="1:25" hidden="1">
      <c r="A212" s="119">
        <v>5199</v>
      </c>
      <c r="D212" s="1" t="s">
        <v>275</v>
      </c>
      <c r="I212" s="1">
        <v>3494</v>
      </c>
      <c r="J212" s="15">
        <v>8890</v>
      </c>
      <c r="K212" s="15"/>
      <c r="L212" s="15"/>
      <c r="M212" s="15"/>
      <c r="N212" s="15"/>
      <c r="O212" s="15">
        <f t="shared" si="25"/>
        <v>8890</v>
      </c>
      <c r="Q212" s="96"/>
      <c r="T212" s="17">
        <v>8890</v>
      </c>
      <c r="U212" s="73">
        <f t="shared" si="26"/>
        <v>5396</v>
      </c>
      <c r="Y212" s="76">
        <f t="shared" si="24"/>
        <v>1.5443617630223241</v>
      </c>
    </row>
    <row r="213" spans="1:25" hidden="1">
      <c r="A213" s="119">
        <v>5211</v>
      </c>
      <c r="D213" s="1" t="s">
        <v>276</v>
      </c>
      <c r="I213" s="1">
        <v>3960</v>
      </c>
      <c r="J213" s="15">
        <v>4599</v>
      </c>
      <c r="K213" s="15"/>
      <c r="L213" s="15"/>
      <c r="M213" s="15"/>
      <c r="N213" s="15"/>
      <c r="O213" s="15">
        <f t="shared" si="25"/>
        <v>4599</v>
      </c>
      <c r="Q213" s="96"/>
      <c r="T213" s="17">
        <v>4599</v>
      </c>
      <c r="U213" s="73">
        <f t="shared" si="26"/>
        <v>639</v>
      </c>
      <c r="Y213" s="76">
        <f t="shared" si="24"/>
        <v>0.16136363636363638</v>
      </c>
    </row>
    <row r="214" spans="1:25" hidden="1">
      <c r="A214" s="117">
        <v>5212</v>
      </c>
      <c r="B214" s="16"/>
      <c r="C214" s="16"/>
      <c r="D214" s="16" t="s">
        <v>277</v>
      </c>
      <c r="E214" s="62"/>
      <c r="F214" s="62"/>
      <c r="G214" s="15"/>
      <c r="H214" s="15"/>
      <c r="I214" s="15">
        <v>7967</v>
      </c>
      <c r="J214" s="15">
        <v>6792</v>
      </c>
      <c r="K214" s="15"/>
      <c r="L214" s="15"/>
      <c r="M214" s="15"/>
      <c r="N214" s="15"/>
      <c r="O214" s="15">
        <f t="shared" si="25"/>
        <v>6792</v>
      </c>
      <c r="P214" s="19"/>
      <c r="Q214" s="95"/>
      <c r="R214" s="15"/>
      <c r="S214" s="15"/>
      <c r="T214" s="17">
        <v>6792</v>
      </c>
      <c r="U214" s="73">
        <f t="shared" si="26"/>
        <v>-1175</v>
      </c>
      <c r="Y214" s="76">
        <f t="shared" si="24"/>
        <v>-0.14748336889669889</v>
      </c>
    </row>
    <row r="215" spans="1:25" hidden="1">
      <c r="A215" s="119">
        <v>5213</v>
      </c>
      <c r="D215" s="1" t="s">
        <v>278</v>
      </c>
      <c r="I215" s="1">
        <v>13348</v>
      </c>
      <c r="J215" s="15">
        <v>7294</v>
      </c>
      <c r="K215" s="15"/>
      <c r="L215" s="15"/>
      <c r="M215" s="15"/>
      <c r="N215" s="15"/>
      <c r="O215" s="15">
        <f t="shared" si="25"/>
        <v>7294</v>
      </c>
      <c r="Q215" s="96"/>
      <c r="T215" s="17">
        <v>7294</v>
      </c>
      <c r="U215" s="73">
        <f t="shared" si="26"/>
        <v>-6054</v>
      </c>
      <c r="Y215" s="76">
        <f t="shared" si="24"/>
        <v>-0.45355109379682351</v>
      </c>
    </row>
    <row r="216" spans="1:25" hidden="1">
      <c r="A216" s="127">
        <v>5214</v>
      </c>
      <c r="D216" s="1" t="s">
        <v>472</v>
      </c>
      <c r="I216" s="1">
        <v>31831</v>
      </c>
      <c r="J216" s="15">
        <v>5050</v>
      </c>
      <c r="K216" s="15"/>
      <c r="L216" s="15"/>
      <c r="M216" s="15"/>
      <c r="N216" s="15"/>
      <c r="O216" s="15">
        <f t="shared" si="25"/>
        <v>5050</v>
      </c>
      <c r="Q216" s="96"/>
      <c r="T216" s="17">
        <v>5050</v>
      </c>
      <c r="U216" s="73">
        <f t="shared" si="26"/>
        <v>-26781</v>
      </c>
      <c r="Y216" s="76">
        <f t="shared" si="24"/>
        <v>-0.84134962772140365</v>
      </c>
    </row>
    <row r="217" spans="1:25" hidden="1">
      <c r="A217" s="119">
        <v>5216</v>
      </c>
      <c r="D217" s="1" t="s">
        <v>279</v>
      </c>
      <c r="I217" s="1">
        <v>0</v>
      </c>
      <c r="J217" s="15">
        <v>0</v>
      </c>
      <c r="K217" s="15"/>
      <c r="L217" s="15"/>
      <c r="M217" s="15"/>
      <c r="N217" s="15"/>
      <c r="O217" s="15">
        <f t="shared" si="25"/>
        <v>0</v>
      </c>
      <c r="Q217" s="96"/>
      <c r="T217" s="17">
        <v>0</v>
      </c>
      <c r="U217" s="73">
        <f t="shared" si="26"/>
        <v>0</v>
      </c>
    </row>
    <row r="218" spans="1:25" hidden="1">
      <c r="A218" s="117">
        <v>5231</v>
      </c>
      <c r="B218" s="16"/>
      <c r="C218" s="16"/>
      <c r="D218" s="16" t="s">
        <v>280</v>
      </c>
      <c r="E218" s="62"/>
      <c r="F218" s="62"/>
      <c r="G218" s="15"/>
      <c r="H218" s="15"/>
      <c r="I218" s="15">
        <v>47624</v>
      </c>
      <c r="J218" s="15">
        <v>18922</v>
      </c>
      <c r="K218" s="15"/>
      <c r="L218" s="15"/>
      <c r="M218" s="15"/>
      <c r="N218" s="15"/>
      <c r="O218" s="15">
        <f t="shared" si="25"/>
        <v>18922</v>
      </c>
      <c r="P218" s="19"/>
      <c r="Q218" s="95"/>
      <c r="R218" s="15"/>
      <c r="S218" s="15"/>
      <c r="T218" s="17">
        <v>18922</v>
      </c>
      <c r="U218" s="73">
        <f t="shared" si="26"/>
        <v>-28702</v>
      </c>
      <c r="Y218" s="76">
        <f t="shared" si="24"/>
        <v>-0.60267932135057956</v>
      </c>
    </row>
    <row r="219" spans="1:25" hidden="1">
      <c r="A219" s="123">
        <v>5232</v>
      </c>
      <c r="B219" s="16"/>
      <c r="C219" s="16"/>
      <c r="D219" s="16" t="s">
        <v>473</v>
      </c>
      <c r="E219" s="62"/>
      <c r="F219" s="62"/>
      <c r="G219" s="15"/>
      <c r="H219" s="15"/>
      <c r="I219" s="15">
        <v>233</v>
      </c>
      <c r="J219" s="15">
        <v>0</v>
      </c>
      <c r="K219" s="15"/>
      <c r="L219" s="15"/>
      <c r="M219" s="15"/>
      <c r="N219" s="15"/>
      <c r="O219" s="15">
        <f t="shared" si="25"/>
        <v>0</v>
      </c>
      <c r="P219" s="19"/>
      <c r="Q219" s="95"/>
      <c r="R219" s="15"/>
      <c r="S219" s="15"/>
      <c r="T219" s="17">
        <v>0</v>
      </c>
      <c r="U219" s="73">
        <f t="shared" si="26"/>
        <v>-233</v>
      </c>
      <c r="Y219" s="76">
        <f t="shared" si="24"/>
        <v>-1</v>
      </c>
    </row>
    <row r="220" spans="1:25" hidden="1">
      <c r="A220" s="119">
        <v>5234</v>
      </c>
      <c r="D220" s="1" t="s">
        <v>281</v>
      </c>
      <c r="I220" s="1">
        <v>106876</v>
      </c>
      <c r="J220" s="15">
        <v>148811</v>
      </c>
      <c r="K220" s="15"/>
      <c r="L220" s="15"/>
      <c r="M220" s="15"/>
      <c r="N220" s="15"/>
      <c r="O220" s="15">
        <f t="shared" si="25"/>
        <v>148811</v>
      </c>
      <c r="Q220" s="96"/>
      <c r="T220" s="17">
        <v>148811</v>
      </c>
      <c r="U220" s="73">
        <f t="shared" si="26"/>
        <v>41935</v>
      </c>
      <c r="Y220" s="76">
        <f t="shared" si="24"/>
        <v>0.39237059770200983</v>
      </c>
    </row>
    <row r="221" spans="1:25" hidden="1">
      <c r="A221" s="117">
        <v>5236</v>
      </c>
      <c r="B221" s="16"/>
      <c r="C221" s="16"/>
      <c r="D221" s="16" t="s">
        <v>282</v>
      </c>
      <c r="I221" s="1">
        <v>52242</v>
      </c>
      <c r="J221" s="15">
        <v>43556</v>
      </c>
      <c r="K221" s="15"/>
      <c r="L221" s="15"/>
      <c r="M221" s="15"/>
      <c r="N221" s="15"/>
      <c r="O221" s="15">
        <f t="shared" si="25"/>
        <v>43556</v>
      </c>
      <c r="Q221" s="96"/>
      <c r="T221" s="17">
        <v>43556</v>
      </c>
      <c r="U221" s="73">
        <f t="shared" si="26"/>
        <v>-8686</v>
      </c>
      <c r="Y221" s="76">
        <f t="shared" si="24"/>
        <v>-0.16626469124459248</v>
      </c>
    </row>
    <row r="222" spans="1:25" hidden="1">
      <c r="A222" s="119">
        <v>5481</v>
      </c>
      <c r="D222" s="1" t="s">
        <v>283</v>
      </c>
      <c r="E222" s="62"/>
      <c r="F222" s="62"/>
      <c r="G222" s="15"/>
      <c r="H222" s="15"/>
      <c r="I222" s="15">
        <v>3082</v>
      </c>
      <c r="J222" s="15">
        <v>14354</v>
      </c>
      <c r="K222" s="15"/>
      <c r="L222" s="15"/>
      <c r="M222" s="15"/>
      <c r="N222" s="15"/>
      <c r="O222" s="15">
        <f t="shared" si="25"/>
        <v>14354</v>
      </c>
      <c r="P222" s="19"/>
      <c r="Q222" s="95"/>
      <c r="R222" s="15"/>
      <c r="S222" s="15"/>
      <c r="T222" s="17">
        <v>14354</v>
      </c>
      <c r="U222" s="73">
        <f t="shared" si="26"/>
        <v>11272</v>
      </c>
      <c r="Y222" s="76">
        <f t="shared" si="24"/>
        <v>3.6573653471771577</v>
      </c>
    </row>
    <row r="223" spans="1:25" hidden="1">
      <c r="A223" s="119">
        <v>5482</v>
      </c>
      <c r="D223" s="1" t="s">
        <v>284</v>
      </c>
      <c r="I223" s="1">
        <v>58368</v>
      </c>
      <c r="J223" s="15">
        <v>80388</v>
      </c>
      <c r="K223" s="15"/>
      <c r="L223" s="15"/>
      <c r="M223" s="15"/>
      <c r="N223" s="15"/>
      <c r="O223" s="15">
        <f t="shared" si="25"/>
        <v>80388</v>
      </c>
      <c r="Q223" s="96"/>
      <c r="T223" s="17">
        <v>80388</v>
      </c>
      <c r="U223" s="73">
        <f t="shared" si="26"/>
        <v>22020</v>
      </c>
      <c r="Y223" s="76">
        <f t="shared" si="24"/>
        <v>0.37726151315789475</v>
      </c>
    </row>
    <row r="224" spans="1:25" hidden="1">
      <c r="A224" s="119">
        <v>5959</v>
      </c>
      <c r="D224" s="1" t="s">
        <v>285</v>
      </c>
      <c r="I224" s="1">
        <v>47</v>
      </c>
      <c r="J224" s="15">
        <v>730</v>
      </c>
      <c r="K224" s="15"/>
      <c r="L224" s="15"/>
      <c r="M224" s="15"/>
      <c r="N224" s="15"/>
      <c r="O224" s="15">
        <f t="shared" si="25"/>
        <v>730</v>
      </c>
      <c r="Q224" s="96"/>
      <c r="T224" s="17">
        <v>730</v>
      </c>
      <c r="U224" s="73">
        <f t="shared" si="26"/>
        <v>683</v>
      </c>
      <c r="Y224" s="76">
        <f t="shared" si="24"/>
        <v>14.531914893617021</v>
      </c>
    </row>
    <row r="225" spans="1:25" hidden="1">
      <c r="A225" s="119">
        <v>6719</v>
      </c>
      <c r="D225" s="1" t="s">
        <v>286</v>
      </c>
      <c r="I225" s="1">
        <v>135849</v>
      </c>
      <c r="J225" s="15">
        <v>129076</v>
      </c>
      <c r="K225" s="15"/>
      <c r="L225" s="15"/>
      <c r="M225" s="15"/>
      <c r="N225" s="15"/>
      <c r="O225" s="15">
        <f t="shared" si="25"/>
        <v>129076</v>
      </c>
      <c r="Q225" s="96"/>
      <c r="T225" s="17">
        <v>129076</v>
      </c>
      <c r="U225" s="73">
        <f t="shared" si="26"/>
        <v>-6773</v>
      </c>
      <c r="Y225" s="76">
        <f t="shared" si="24"/>
        <v>-4.9856826329233196E-2</v>
      </c>
    </row>
    <row r="226" spans="1:25" hidden="1">
      <c r="A226" s="117">
        <v>6721</v>
      </c>
      <c r="B226" s="16"/>
      <c r="C226" s="16"/>
      <c r="D226" s="16" t="s">
        <v>287</v>
      </c>
      <c r="E226" s="62"/>
      <c r="F226" s="62"/>
      <c r="G226" s="15"/>
      <c r="H226" s="15"/>
      <c r="I226" s="15">
        <v>36633</v>
      </c>
      <c r="J226" s="15">
        <v>41130</v>
      </c>
      <c r="K226" s="15"/>
      <c r="L226" s="15"/>
      <c r="M226" s="15"/>
      <c r="N226" s="15"/>
      <c r="O226" s="15">
        <f t="shared" si="25"/>
        <v>41130</v>
      </c>
      <c r="P226" s="19"/>
      <c r="Q226" s="95"/>
      <c r="R226" s="15"/>
      <c r="S226" s="15"/>
      <c r="T226" s="17">
        <v>41130</v>
      </c>
      <c r="U226" s="73">
        <f t="shared" si="26"/>
        <v>4497</v>
      </c>
      <c r="Y226" s="76">
        <f t="shared" si="24"/>
        <v>0.12275816886413889</v>
      </c>
    </row>
    <row r="227" spans="1:25" hidden="1">
      <c r="A227" s="119">
        <v>6722</v>
      </c>
      <c r="D227" s="1" t="s">
        <v>288</v>
      </c>
      <c r="I227" s="1">
        <v>15198</v>
      </c>
      <c r="J227" s="15">
        <v>13580</v>
      </c>
      <c r="K227" s="15"/>
      <c r="L227" s="15"/>
      <c r="M227" s="15"/>
      <c r="N227" s="15"/>
      <c r="O227" s="15">
        <f t="shared" si="25"/>
        <v>13580</v>
      </c>
      <c r="Q227" s="96"/>
      <c r="T227" s="17">
        <v>13580</v>
      </c>
      <c r="U227" s="73">
        <f t="shared" si="26"/>
        <v>-1618</v>
      </c>
      <c r="Y227" s="76">
        <f t="shared" si="24"/>
        <v>-0.10646137649690748</v>
      </c>
    </row>
    <row r="228" spans="1:25" hidden="1">
      <c r="C228" s="8" t="s">
        <v>289</v>
      </c>
      <c r="G228" s="35">
        <f>+SUM(G185:G227)</f>
        <v>9939202</v>
      </c>
      <c r="H228" s="35">
        <f t="shared" ref="H228:R228" si="27">+SUM(H185:H227)</f>
        <v>10944656</v>
      </c>
      <c r="I228" s="35">
        <v>10912730</v>
      </c>
      <c r="J228" s="35">
        <f t="shared" si="27"/>
        <v>11434442</v>
      </c>
      <c r="K228" s="35">
        <f t="shared" si="27"/>
        <v>0</v>
      </c>
      <c r="L228" s="35">
        <f t="shared" si="27"/>
        <v>0</v>
      </c>
      <c r="M228" s="35">
        <f t="shared" si="27"/>
        <v>0</v>
      </c>
      <c r="N228" s="35">
        <f t="shared" si="27"/>
        <v>0</v>
      </c>
      <c r="O228" s="35">
        <f t="shared" si="27"/>
        <v>11434442</v>
      </c>
      <c r="P228" s="35">
        <f t="shared" si="27"/>
        <v>0</v>
      </c>
      <c r="Q228" s="95"/>
      <c r="R228" s="35">
        <f t="shared" si="27"/>
        <v>26</v>
      </c>
      <c r="S228" s="35"/>
      <c r="T228" s="21">
        <v>11434416</v>
      </c>
      <c r="U228" s="73">
        <f t="shared" si="26"/>
        <v>521686</v>
      </c>
      <c r="Y228" s="76">
        <f t="shared" si="24"/>
        <v>4.7805269625474101E-2</v>
      </c>
    </row>
    <row r="229" spans="1:25" hidden="1">
      <c r="A229" s="117"/>
      <c r="B229" s="61" t="s">
        <v>103</v>
      </c>
      <c r="D229" s="16"/>
      <c r="F229" s="62"/>
      <c r="G229" s="15">
        <v>18469449</v>
      </c>
      <c r="H229" s="15">
        <v>23911156</v>
      </c>
      <c r="I229" s="15"/>
      <c r="J229" s="15"/>
      <c r="K229" s="15"/>
      <c r="L229" s="22"/>
      <c r="M229" s="22"/>
      <c r="N229" s="22"/>
      <c r="O229" s="17">
        <f t="shared" ref="O229:O240" si="28">SUM(J229:N229)</f>
        <v>0</v>
      </c>
      <c r="P229" s="19"/>
      <c r="Q229" s="95"/>
      <c r="R229" s="15"/>
      <c r="S229" s="15"/>
      <c r="T229" s="17">
        <v>0</v>
      </c>
    </row>
    <row r="230" spans="1:25" hidden="1">
      <c r="A230" s="117">
        <v>5734</v>
      </c>
      <c r="B230" s="61"/>
      <c r="D230" s="16" t="s">
        <v>290</v>
      </c>
      <c r="F230" s="62"/>
      <c r="G230" s="15"/>
      <c r="H230" s="15"/>
      <c r="I230" s="15">
        <v>94371</v>
      </c>
      <c r="J230" s="15">
        <v>187169</v>
      </c>
      <c r="K230" s="15"/>
      <c r="L230" s="22"/>
      <c r="M230" s="22"/>
      <c r="N230" s="22"/>
      <c r="O230" s="17">
        <f t="shared" si="28"/>
        <v>187169</v>
      </c>
      <c r="P230" s="19"/>
      <c r="Q230" s="95"/>
      <c r="R230" s="15"/>
      <c r="S230" s="15"/>
      <c r="T230" s="17">
        <v>187169</v>
      </c>
      <c r="U230" s="73">
        <f t="shared" si="26"/>
        <v>92798</v>
      </c>
      <c r="Y230" s="76">
        <f t="shared" ref="Y230:Y292" si="29">U230/I230</f>
        <v>0.98333174386199151</v>
      </c>
    </row>
    <row r="231" spans="1:25" hidden="1">
      <c r="A231" s="124">
        <v>5735</v>
      </c>
      <c r="B231" s="61"/>
      <c r="D231" s="16" t="s">
        <v>44</v>
      </c>
      <c r="F231" s="62"/>
      <c r="G231" s="15"/>
      <c r="H231" s="15"/>
      <c r="I231" s="15"/>
      <c r="J231" s="15">
        <v>926</v>
      </c>
      <c r="K231" s="15"/>
      <c r="L231" s="22"/>
      <c r="M231" s="22"/>
      <c r="N231" s="22"/>
      <c r="O231" s="17">
        <f t="shared" si="28"/>
        <v>926</v>
      </c>
      <c r="P231" s="19"/>
      <c r="Q231" s="95"/>
      <c r="R231" s="15"/>
      <c r="S231" s="15"/>
      <c r="T231" s="17">
        <v>926</v>
      </c>
      <c r="U231" s="73">
        <f t="shared" si="26"/>
        <v>926</v>
      </c>
    </row>
    <row r="232" spans="1:25" hidden="1">
      <c r="A232" s="117">
        <v>5818</v>
      </c>
      <c r="B232" s="61"/>
      <c r="D232" s="16" t="s">
        <v>463</v>
      </c>
      <c r="F232" s="62"/>
      <c r="G232" s="15"/>
      <c r="H232" s="15"/>
      <c r="I232" s="15">
        <v>12000</v>
      </c>
      <c r="J232" s="15">
        <v>3000</v>
      </c>
      <c r="K232" s="15"/>
      <c r="L232" s="22"/>
      <c r="M232" s="22"/>
      <c r="N232" s="22"/>
      <c r="O232" s="17">
        <f t="shared" si="28"/>
        <v>3000</v>
      </c>
      <c r="P232" s="19"/>
      <c r="Q232" s="95"/>
      <c r="R232" s="15"/>
      <c r="S232" s="15"/>
      <c r="T232" s="17">
        <v>3000</v>
      </c>
      <c r="U232" s="73">
        <f t="shared" si="26"/>
        <v>-9000</v>
      </c>
      <c r="Y232" s="76">
        <f t="shared" si="29"/>
        <v>-0.75</v>
      </c>
    </row>
    <row r="233" spans="1:25" hidden="1">
      <c r="A233" s="117">
        <v>5819</v>
      </c>
      <c r="B233" s="61"/>
      <c r="D233" s="16" t="s">
        <v>291</v>
      </c>
      <c r="F233" s="62"/>
      <c r="G233" s="15"/>
      <c r="H233" s="15"/>
      <c r="I233" s="15">
        <v>2404417</v>
      </c>
      <c r="J233" s="15">
        <v>1626876</v>
      </c>
      <c r="K233" s="15"/>
      <c r="L233" s="22"/>
      <c r="M233" s="22"/>
      <c r="N233" s="22"/>
      <c r="O233" s="17">
        <f t="shared" si="28"/>
        <v>1626876</v>
      </c>
      <c r="P233" s="19"/>
      <c r="Q233" s="95"/>
      <c r="R233" s="15"/>
      <c r="S233" s="15"/>
      <c r="T233" s="17">
        <v>1626876</v>
      </c>
      <c r="U233" s="73">
        <f t="shared" si="26"/>
        <v>-777541</v>
      </c>
      <c r="Y233" s="76">
        <f t="shared" si="29"/>
        <v>-0.32338026224236477</v>
      </c>
    </row>
    <row r="234" spans="1:25" hidden="1">
      <c r="A234" s="117">
        <v>5821</v>
      </c>
      <c r="B234" s="61"/>
      <c r="D234" s="16" t="s">
        <v>292</v>
      </c>
      <c r="F234" s="62"/>
      <c r="G234" s="15"/>
      <c r="H234" s="15"/>
      <c r="I234" s="15">
        <v>277042</v>
      </c>
      <c r="J234" s="15">
        <v>393528</v>
      </c>
      <c r="K234" s="15"/>
      <c r="L234" s="22"/>
      <c r="M234" s="22"/>
      <c r="N234" s="22"/>
      <c r="O234" s="17">
        <f t="shared" si="28"/>
        <v>393528</v>
      </c>
      <c r="P234" s="19"/>
      <c r="Q234" s="95"/>
      <c r="R234" s="15"/>
      <c r="S234" s="15"/>
      <c r="T234" s="17">
        <v>393528</v>
      </c>
      <c r="U234" s="73">
        <f t="shared" si="26"/>
        <v>116486</v>
      </c>
      <c r="Y234" s="76">
        <f t="shared" si="29"/>
        <v>0.42046332325062624</v>
      </c>
    </row>
    <row r="235" spans="1:25" hidden="1">
      <c r="A235" s="119">
        <v>5868</v>
      </c>
      <c r="D235" s="1" t="s">
        <v>293</v>
      </c>
      <c r="I235" s="1">
        <v>337384</v>
      </c>
      <c r="J235" s="15">
        <v>106891</v>
      </c>
      <c r="K235" s="15"/>
      <c r="L235" s="15"/>
      <c r="M235" s="15"/>
      <c r="N235" s="15"/>
      <c r="O235" s="15">
        <f t="shared" si="28"/>
        <v>106891</v>
      </c>
      <c r="Q235" s="96" t="s">
        <v>60</v>
      </c>
      <c r="R235" s="1">
        <f>63839+9547</f>
        <v>73386</v>
      </c>
      <c r="T235" s="17">
        <v>33505</v>
      </c>
      <c r="U235" s="73">
        <f t="shared" si="26"/>
        <v>-303879</v>
      </c>
      <c r="Y235" s="76">
        <f t="shared" si="29"/>
        <v>-0.90069179332748439</v>
      </c>
    </row>
    <row r="236" spans="1:25" hidden="1">
      <c r="A236" s="119">
        <v>5869</v>
      </c>
      <c r="D236" s="1" t="s">
        <v>294</v>
      </c>
      <c r="I236" s="1">
        <v>384285</v>
      </c>
      <c r="J236" s="15">
        <v>390093</v>
      </c>
      <c r="K236" s="15"/>
      <c r="L236" s="15"/>
      <c r="M236" s="15"/>
      <c r="N236" s="15"/>
      <c r="O236" s="15">
        <f t="shared" si="28"/>
        <v>390093</v>
      </c>
      <c r="Q236" s="96" t="s">
        <v>60</v>
      </c>
      <c r="R236" s="1">
        <f>3057+2751</f>
        <v>5808</v>
      </c>
      <c r="T236" s="17">
        <v>384285</v>
      </c>
      <c r="U236" s="73">
        <f t="shared" si="26"/>
        <v>0</v>
      </c>
      <c r="Y236" s="76">
        <f t="shared" si="29"/>
        <v>0</v>
      </c>
    </row>
    <row r="237" spans="1:25" hidden="1">
      <c r="A237" s="117">
        <v>5876</v>
      </c>
      <c r="B237" s="16"/>
      <c r="C237" s="16"/>
      <c r="D237" s="16" t="s">
        <v>295</v>
      </c>
      <c r="E237" s="62"/>
      <c r="F237" s="62"/>
      <c r="G237" s="15"/>
      <c r="H237" s="15"/>
      <c r="I237" s="15">
        <v>452093</v>
      </c>
      <c r="J237" s="15">
        <v>426134</v>
      </c>
      <c r="K237" s="15"/>
      <c r="L237" s="15"/>
      <c r="M237" s="15"/>
      <c r="N237" s="15"/>
      <c r="O237" s="15">
        <f t="shared" si="28"/>
        <v>426134</v>
      </c>
      <c r="P237" s="19"/>
      <c r="Q237" s="95" t="s">
        <v>60</v>
      </c>
      <c r="R237" s="15">
        <f>68833</f>
        <v>68833</v>
      </c>
      <c r="S237" s="15"/>
      <c r="T237" s="17">
        <v>357301</v>
      </c>
      <c r="U237" s="73">
        <f t="shared" si="26"/>
        <v>-94792</v>
      </c>
      <c r="Y237" s="76">
        <f t="shared" si="29"/>
        <v>-0.20967367333712311</v>
      </c>
    </row>
    <row r="238" spans="1:25" hidden="1">
      <c r="A238" s="119">
        <v>5877</v>
      </c>
      <c r="D238" s="1" t="s">
        <v>296</v>
      </c>
      <c r="I238" s="1">
        <v>5444120</v>
      </c>
      <c r="J238" s="15">
        <v>5119049</v>
      </c>
      <c r="K238" s="15"/>
      <c r="L238" s="15"/>
      <c r="M238" s="15"/>
      <c r="N238" s="15"/>
      <c r="O238" s="15">
        <f t="shared" si="28"/>
        <v>5119049</v>
      </c>
      <c r="Q238" s="96"/>
      <c r="T238" s="17">
        <v>5119049</v>
      </c>
      <c r="U238" s="73">
        <f t="shared" si="26"/>
        <v>-325071</v>
      </c>
      <c r="Y238" s="76">
        <f t="shared" si="29"/>
        <v>-5.9710476624321288E-2</v>
      </c>
    </row>
    <row r="239" spans="1:25" hidden="1">
      <c r="A239" s="119">
        <v>5878</v>
      </c>
      <c r="D239" s="1" t="s">
        <v>297</v>
      </c>
      <c r="I239" s="1">
        <v>2245781</v>
      </c>
      <c r="J239" s="15">
        <v>1939085</v>
      </c>
      <c r="K239" s="15"/>
      <c r="L239" s="15"/>
      <c r="M239" s="15"/>
      <c r="N239" s="15"/>
      <c r="O239" s="15">
        <f t="shared" si="28"/>
        <v>1939085</v>
      </c>
      <c r="Q239" s="96" t="s">
        <v>60</v>
      </c>
      <c r="R239" s="1">
        <f>74253</f>
        <v>74253</v>
      </c>
      <c r="T239" s="17">
        <v>1864832</v>
      </c>
      <c r="U239" s="73">
        <f t="shared" si="26"/>
        <v>-380949</v>
      </c>
      <c r="Y239" s="76">
        <f t="shared" si="29"/>
        <v>-0.16962873940068066</v>
      </c>
    </row>
    <row r="240" spans="1:25" hidden="1">
      <c r="A240" s="119">
        <v>5879</v>
      </c>
      <c r="D240" s="1" t="s">
        <v>298</v>
      </c>
      <c r="I240" s="1">
        <v>12894711</v>
      </c>
      <c r="J240" s="15">
        <v>14345252</v>
      </c>
      <c r="K240" s="15"/>
      <c r="L240" s="15"/>
      <c r="M240" s="15"/>
      <c r="N240" s="15"/>
      <c r="O240" s="15">
        <f t="shared" si="28"/>
        <v>14345252</v>
      </c>
      <c r="Q240" s="96"/>
      <c r="T240" s="17">
        <v>14345252</v>
      </c>
      <c r="U240" s="73">
        <f t="shared" si="26"/>
        <v>1450541</v>
      </c>
      <c r="Y240" s="76">
        <f t="shared" si="29"/>
        <v>0.11249116013534541</v>
      </c>
    </row>
    <row r="241" spans="1:25" hidden="1">
      <c r="A241" s="117"/>
      <c r="B241" s="16"/>
      <c r="C241" s="4" t="s">
        <v>299</v>
      </c>
      <c r="D241" s="16"/>
      <c r="E241" s="62"/>
      <c r="F241" s="62"/>
      <c r="G241" s="35">
        <f>+SUM(G229:G240)</f>
        <v>18469449</v>
      </c>
      <c r="H241" s="35">
        <f t="shared" ref="H241:R241" si="30">+SUM(H229:H240)</f>
        <v>23911156</v>
      </c>
      <c r="I241" s="35">
        <v>24546204</v>
      </c>
      <c r="J241" s="35">
        <f t="shared" si="30"/>
        <v>24538003</v>
      </c>
      <c r="K241" s="35">
        <f t="shared" si="30"/>
        <v>0</v>
      </c>
      <c r="L241" s="35">
        <f t="shared" si="30"/>
        <v>0</v>
      </c>
      <c r="M241" s="35">
        <f t="shared" si="30"/>
        <v>0</v>
      </c>
      <c r="N241" s="35">
        <f t="shared" si="30"/>
        <v>0</v>
      </c>
      <c r="O241" s="35">
        <f t="shared" si="30"/>
        <v>24538003</v>
      </c>
      <c r="P241" s="35">
        <f t="shared" si="30"/>
        <v>0</v>
      </c>
      <c r="Q241" s="95"/>
      <c r="R241" s="35">
        <f t="shared" si="30"/>
        <v>222280</v>
      </c>
      <c r="S241" s="35"/>
      <c r="T241" s="21">
        <v>24315723</v>
      </c>
      <c r="U241" s="73">
        <f t="shared" si="26"/>
        <v>-230481</v>
      </c>
      <c r="Y241" s="76">
        <f t="shared" si="29"/>
        <v>-9.3896799684382963E-3</v>
      </c>
    </row>
    <row r="242" spans="1:25" hidden="1">
      <c r="A242" s="117"/>
      <c r="B242" s="61" t="s">
        <v>104</v>
      </c>
      <c r="D242" s="16"/>
      <c r="F242" s="62"/>
      <c r="G242" s="15">
        <v>28725733</v>
      </c>
      <c r="H242" s="15">
        <v>29800642</v>
      </c>
      <c r="I242" s="15">
        <v>0</v>
      </c>
      <c r="J242" s="15"/>
      <c r="K242" s="15"/>
      <c r="L242" s="22"/>
      <c r="M242" s="22"/>
      <c r="N242" s="22"/>
      <c r="O242" s="17">
        <f t="shared" ref="O242:O282" si="31">SUM(J242:N242)</f>
        <v>0</v>
      </c>
      <c r="P242" s="15"/>
      <c r="Q242" s="95"/>
      <c r="R242" s="15"/>
      <c r="S242" s="15"/>
      <c r="T242" s="17">
        <v>0</v>
      </c>
      <c r="U242" s="73">
        <f>T242-H242</f>
        <v>-29800642</v>
      </c>
    </row>
    <row r="243" spans="1:25" hidden="1">
      <c r="A243" s="123">
        <v>5153</v>
      </c>
      <c r="B243" s="61"/>
      <c r="D243" s="16" t="s">
        <v>474</v>
      </c>
      <c r="F243" s="62"/>
      <c r="G243" s="15"/>
      <c r="H243" s="15"/>
      <c r="I243" s="15">
        <v>1641</v>
      </c>
      <c r="J243" s="15">
        <v>0</v>
      </c>
      <c r="K243" s="15"/>
      <c r="L243" s="22"/>
      <c r="M243" s="22"/>
      <c r="N243" s="22"/>
      <c r="O243" s="17">
        <f t="shared" si="31"/>
        <v>0</v>
      </c>
      <c r="P243" s="15"/>
      <c r="Q243" s="95"/>
      <c r="R243" s="15"/>
      <c r="S243" s="15"/>
      <c r="T243" s="17">
        <v>0</v>
      </c>
      <c r="U243" s="73">
        <f t="shared" si="26"/>
        <v>-1641</v>
      </c>
      <c r="Y243" s="76">
        <f t="shared" si="29"/>
        <v>-1</v>
      </c>
    </row>
    <row r="244" spans="1:25" hidden="1">
      <c r="A244" s="119">
        <v>5154</v>
      </c>
      <c r="D244" s="1" t="s">
        <v>300</v>
      </c>
      <c r="I244" s="1">
        <v>23373</v>
      </c>
      <c r="J244" s="15">
        <v>28141</v>
      </c>
      <c r="K244" s="15"/>
      <c r="L244" s="15"/>
      <c r="M244" s="15"/>
      <c r="N244" s="15"/>
      <c r="O244" s="15">
        <f t="shared" si="31"/>
        <v>28141</v>
      </c>
      <c r="Q244" s="96"/>
      <c r="T244" s="17">
        <v>28141</v>
      </c>
      <c r="U244" s="73">
        <f t="shared" si="26"/>
        <v>4768</v>
      </c>
      <c r="Y244" s="76">
        <f t="shared" si="29"/>
        <v>0.20399606383433877</v>
      </c>
    </row>
    <row r="245" spans="1:25" hidden="1">
      <c r="A245" s="119">
        <v>5155</v>
      </c>
      <c r="D245" s="1" t="s">
        <v>301</v>
      </c>
      <c r="I245" s="1">
        <v>669780</v>
      </c>
      <c r="J245" s="15">
        <v>651452</v>
      </c>
      <c r="K245" s="15"/>
      <c r="L245" s="15"/>
      <c r="M245" s="15"/>
      <c r="N245" s="15"/>
      <c r="O245" s="15">
        <f t="shared" si="31"/>
        <v>651452</v>
      </c>
      <c r="Q245" s="96"/>
      <c r="T245" s="17">
        <v>651452</v>
      </c>
      <c r="U245" s="73">
        <f t="shared" si="26"/>
        <v>-18328</v>
      </c>
      <c r="Y245" s="76">
        <f t="shared" si="29"/>
        <v>-2.7364209143300785E-2</v>
      </c>
    </row>
    <row r="246" spans="1:25" hidden="1">
      <c r="A246" s="119">
        <v>5191</v>
      </c>
      <c r="D246" s="1" t="s">
        <v>302</v>
      </c>
      <c r="I246" s="1">
        <v>238139</v>
      </c>
      <c r="J246" s="15">
        <v>211182</v>
      </c>
      <c r="K246" s="15"/>
      <c r="L246" s="15"/>
      <c r="M246" s="15"/>
      <c r="N246" s="15"/>
      <c r="O246" s="15">
        <f t="shared" si="31"/>
        <v>211182</v>
      </c>
      <c r="Q246" s="96"/>
      <c r="T246" s="17">
        <v>211182</v>
      </c>
      <c r="U246" s="73">
        <f t="shared" si="26"/>
        <v>-26957</v>
      </c>
      <c r="Y246" s="76">
        <f t="shared" si="29"/>
        <v>-0.11319859409840471</v>
      </c>
    </row>
    <row r="247" spans="1:25" hidden="1">
      <c r="A247" s="119">
        <v>5196</v>
      </c>
      <c r="D247" s="1" t="s">
        <v>303</v>
      </c>
      <c r="I247" s="1">
        <v>92557</v>
      </c>
      <c r="J247" s="15">
        <v>76260</v>
      </c>
      <c r="K247" s="15"/>
      <c r="L247" s="15"/>
      <c r="M247" s="15"/>
      <c r="N247" s="15"/>
      <c r="O247" s="15">
        <f t="shared" si="31"/>
        <v>76260</v>
      </c>
      <c r="Q247" s="96"/>
      <c r="T247" s="17">
        <v>76260</v>
      </c>
      <c r="U247" s="73">
        <f t="shared" si="26"/>
        <v>-16297</v>
      </c>
      <c r="Y247" s="76">
        <f t="shared" si="29"/>
        <v>-0.17607528333891548</v>
      </c>
    </row>
    <row r="248" spans="1:25" hidden="1">
      <c r="A248" s="119">
        <v>5215</v>
      </c>
      <c r="D248" s="1" t="s">
        <v>304</v>
      </c>
      <c r="I248" s="1">
        <v>191124</v>
      </c>
      <c r="J248" s="15">
        <v>72681</v>
      </c>
      <c r="K248" s="15"/>
      <c r="L248" s="15"/>
      <c r="M248" s="15"/>
      <c r="N248" s="15"/>
      <c r="O248" s="15">
        <f t="shared" si="31"/>
        <v>72681</v>
      </c>
      <c r="Q248" s="96"/>
      <c r="T248" s="17">
        <v>72681</v>
      </c>
      <c r="U248" s="73">
        <f t="shared" si="26"/>
        <v>-118443</v>
      </c>
      <c r="Y248" s="76">
        <f t="shared" si="29"/>
        <v>-0.61971808878005907</v>
      </c>
    </row>
    <row r="249" spans="1:25" hidden="1">
      <c r="A249" s="119">
        <v>5218</v>
      </c>
      <c r="D249" s="1" t="s">
        <v>305</v>
      </c>
      <c r="I249" s="1">
        <v>33255</v>
      </c>
      <c r="J249" s="15">
        <v>41581</v>
      </c>
      <c r="K249" s="15"/>
      <c r="L249" s="15"/>
      <c r="M249" s="15"/>
      <c r="N249" s="15"/>
      <c r="O249" s="15">
        <f t="shared" si="31"/>
        <v>41581</v>
      </c>
      <c r="Q249" s="96"/>
      <c r="T249" s="17">
        <v>41581</v>
      </c>
      <c r="U249" s="73">
        <f t="shared" si="26"/>
        <v>8326</v>
      </c>
      <c r="Y249" s="76">
        <f t="shared" si="29"/>
        <v>0.25036836565929937</v>
      </c>
    </row>
    <row r="250" spans="1:25" hidden="1">
      <c r="A250" s="119">
        <v>5413</v>
      </c>
      <c r="D250" s="1" t="s">
        <v>306</v>
      </c>
      <c r="I250" s="1">
        <v>0</v>
      </c>
      <c r="J250" s="15">
        <v>0</v>
      </c>
      <c r="K250" s="15"/>
      <c r="L250" s="15"/>
      <c r="M250" s="15"/>
      <c r="N250" s="15"/>
      <c r="O250" s="15">
        <f t="shared" si="31"/>
        <v>0</v>
      </c>
      <c r="Q250" s="96"/>
      <c r="T250" s="17">
        <v>0</v>
      </c>
      <c r="U250" s="73">
        <f t="shared" ref="U250:U313" si="32">T250-I250</f>
        <v>0</v>
      </c>
    </row>
    <row r="251" spans="1:25" hidden="1">
      <c r="A251" s="127">
        <v>5415</v>
      </c>
      <c r="D251" s="1" t="s">
        <v>475</v>
      </c>
      <c r="I251" s="1">
        <v>167</v>
      </c>
      <c r="J251" s="15">
        <v>0</v>
      </c>
      <c r="K251" s="15"/>
      <c r="L251" s="15"/>
      <c r="M251" s="15"/>
      <c r="N251" s="15"/>
      <c r="O251" s="15">
        <f t="shared" si="31"/>
        <v>0</v>
      </c>
      <c r="Q251" s="96"/>
      <c r="T251" s="17">
        <v>0</v>
      </c>
      <c r="U251" s="73">
        <f t="shared" si="32"/>
        <v>-167</v>
      </c>
      <c r="Y251" s="76">
        <f t="shared" si="29"/>
        <v>-1</v>
      </c>
    </row>
    <row r="252" spans="1:25" hidden="1">
      <c r="A252" s="128">
        <v>5417</v>
      </c>
      <c r="D252" s="1" t="s">
        <v>45</v>
      </c>
      <c r="J252" s="15">
        <v>851</v>
      </c>
      <c r="K252" s="15"/>
      <c r="L252" s="15"/>
      <c r="M252" s="15"/>
      <c r="N252" s="15"/>
      <c r="O252" s="15">
        <f t="shared" si="31"/>
        <v>851</v>
      </c>
      <c r="Q252" s="96"/>
      <c r="T252" s="17">
        <v>851</v>
      </c>
      <c r="U252" s="73">
        <f t="shared" si="32"/>
        <v>851</v>
      </c>
    </row>
    <row r="253" spans="1:25" hidden="1">
      <c r="A253" s="119">
        <v>5419</v>
      </c>
      <c r="D253" s="1" t="s">
        <v>307</v>
      </c>
      <c r="I253" s="1">
        <v>1050748</v>
      </c>
      <c r="J253" s="15">
        <v>1286430</v>
      </c>
      <c r="K253" s="15"/>
      <c r="L253" s="15"/>
      <c r="M253" s="15"/>
      <c r="N253" s="15"/>
      <c r="O253" s="15">
        <f t="shared" si="31"/>
        <v>1286430</v>
      </c>
      <c r="Q253" s="96"/>
      <c r="T253" s="17">
        <v>1286430</v>
      </c>
      <c r="U253" s="73">
        <f t="shared" si="32"/>
        <v>235682</v>
      </c>
      <c r="Y253" s="76">
        <f t="shared" si="29"/>
        <v>0.22429926109780843</v>
      </c>
    </row>
    <row r="254" spans="1:25" hidden="1">
      <c r="A254" s="129">
        <v>5421</v>
      </c>
      <c r="D254" s="1" t="s">
        <v>46</v>
      </c>
      <c r="J254" s="15">
        <v>1311</v>
      </c>
      <c r="K254" s="15"/>
      <c r="L254" s="15"/>
      <c r="M254" s="15"/>
      <c r="N254" s="15"/>
      <c r="O254" s="15">
        <f t="shared" si="31"/>
        <v>1311</v>
      </c>
      <c r="Q254" s="96"/>
      <c r="T254" s="17">
        <v>1311</v>
      </c>
      <c r="U254" s="73">
        <f t="shared" si="32"/>
        <v>1311</v>
      </c>
    </row>
    <row r="255" spans="1:25" hidden="1">
      <c r="A255" s="119">
        <v>5423</v>
      </c>
      <c r="D255" s="1" t="s">
        <v>308</v>
      </c>
      <c r="I255" s="1">
        <v>5007</v>
      </c>
      <c r="J255" s="15">
        <v>469</v>
      </c>
      <c r="K255" s="15"/>
      <c r="L255" s="15"/>
      <c r="M255" s="15"/>
      <c r="N255" s="15"/>
      <c r="O255" s="15">
        <f t="shared" si="31"/>
        <v>469</v>
      </c>
      <c r="Q255" s="96"/>
      <c r="T255" s="17">
        <v>469</v>
      </c>
      <c r="U255" s="73">
        <f t="shared" si="32"/>
        <v>-4538</v>
      </c>
      <c r="Y255" s="76">
        <f t="shared" si="29"/>
        <v>-0.9063311364090274</v>
      </c>
    </row>
    <row r="256" spans="1:25" hidden="1">
      <c r="A256" s="119">
        <v>5426</v>
      </c>
      <c r="D256" s="1" t="s">
        <v>309</v>
      </c>
      <c r="I256" s="1">
        <v>0</v>
      </c>
      <c r="J256" s="15">
        <v>2628</v>
      </c>
      <c r="K256" s="15"/>
      <c r="L256" s="15"/>
      <c r="M256" s="15"/>
      <c r="N256" s="15"/>
      <c r="O256" s="15">
        <f t="shared" si="31"/>
        <v>2628</v>
      </c>
      <c r="Q256" s="96"/>
      <c r="T256" s="17">
        <v>2628</v>
      </c>
      <c r="U256" s="73">
        <f t="shared" si="32"/>
        <v>2628</v>
      </c>
    </row>
    <row r="257" spans="1:25" hidden="1">
      <c r="A257" s="119">
        <v>5427</v>
      </c>
      <c r="D257" s="1" t="s">
        <v>310</v>
      </c>
      <c r="I257" s="1">
        <v>61117</v>
      </c>
      <c r="J257" s="15">
        <v>29583</v>
      </c>
      <c r="K257" s="15"/>
      <c r="L257" s="15"/>
      <c r="M257" s="15"/>
      <c r="N257" s="15"/>
      <c r="O257" s="15">
        <f t="shared" si="31"/>
        <v>29583</v>
      </c>
      <c r="Q257" s="96"/>
      <c r="T257" s="17">
        <v>29583</v>
      </c>
      <c r="U257" s="73">
        <f t="shared" si="32"/>
        <v>-31534</v>
      </c>
      <c r="Y257" s="76">
        <f t="shared" si="29"/>
        <v>-0.51596118919449585</v>
      </c>
    </row>
    <row r="258" spans="1:25" hidden="1">
      <c r="A258" s="119">
        <v>5428</v>
      </c>
      <c r="D258" s="1" t="s">
        <v>311</v>
      </c>
      <c r="I258" s="1">
        <v>154654</v>
      </c>
      <c r="J258" s="15">
        <v>48230</v>
      </c>
      <c r="K258" s="15"/>
      <c r="L258" s="15"/>
      <c r="M258" s="15"/>
      <c r="N258" s="15"/>
      <c r="O258" s="15">
        <f t="shared" si="31"/>
        <v>48230</v>
      </c>
      <c r="Q258" s="96"/>
      <c r="T258" s="17">
        <v>48230</v>
      </c>
      <c r="U258" s="73">
        <f t="shared" si="32"/>
        <v>-106424</v>
      </c>
      <c r="Y258" s="76">
        <f t="shared" si="29"/>
        <v>-0.68814256339958879</v>
      </c>
    </row>
    <row r="259" spans="1:25" hidden="1">
      <c r="A259" s="119">
        <v>5431</v>
      </c>
      <c r="D259" s="1" t="s">
        <v>312</v>
      </c>
      <c r="I259" s="1">
        <v>312</v>
      </c>
      <c r="J259" s="15">
        <v>20158</v>
      </c>
      <c r="K259" s="15"/>
      <c r="L259" s="15"/>
      <c r="M259" s="15"/>
      <c r="N259" s="15"/>
      <c r="O259" s="15">
        <f t="shared" si="31"/>
        <v>20158</v>
      </c>
      <c r="Q259" s="96"/>
      <c r="T259" s="17">
        <v>20158</v>
      </c>
      <c r="U259" s="73">
        <f t="shared" si="32"/>
        <v>19846</v>
      </c>
      <c r="Y259" s="76">
        <f t="shared" si="29"/>
        <v>63.608974358974358</v>
      </c>
    </row>
    <row r="260" spans="1:25" hidden="1">
      <c r="A260" s="127">
        <v>5432</v>
      </c>
      <c r="D260" s="1" t="s">
        <v>476</v>
      </c>
      <c r="I260" s="1">
        <v>710</v>
      </c>
      <c r="J260" s="15">
        <v>0</v>
      </c>
      <c r="K260" s="15"/>
      <c r="L260" s="15"/>
      <c r="M260" s="15"/>
      <c r="N260" s="15"/>
      <c r="O260" s="15">
        <f t="shared" si="31"/>
        <v>0</v>
      </c>
      <c r="Q260" s="96"/>
      <c r="T260" s="17">
        <v>0</v>
      </c>
      <c r="U260" s="73">
        <f t="shared" si="32"/>
        <v>-710</v>
      </c>
      <c r="Y260" s="76">
        <f t="shared" si="29"/>
        <v>-1</v>
      </c>
    </row>
    <row r="261" spans="1:25" hidden="1">
      <c r="A261" s="119">
        <v>5433</v>
      </c>
      <c r="D261" s="1" t="s">
        <v>313</v>
      </c>
      <c r="I261" s="1">
        <v>320</v>
      </c>
      <c r="J261" s="15">
        <v>938</v>
      </c>
      <c r="K261" s="15"/>
      <c r="L261" s="15"/>
      <c r="M261" s="15"/>
      <c r="N261" s="15"/>
      <c r="O261" s="15">
        <f t="shared" si="31"/>
        <v>938</v>
      </c>
      <c r="Q261" s="96"/>
      <c r="T261" s="17">
        <v>938</v>
      </c>
      <c r="U261" s="73">
        <f t="shared" si="32"/>
        <v>618</v>
      </c>
      <c r="Y261" s="76">
        <f t="shared" si="29"/>
        <v>1.9312499999999999</v>
      </c>
    </row>
    <row r="262" spans="1:25" hidden="1">
      <c r="A262" s="119">
        <v>5436</v>
      </c>
      <c r="D262" s="1" t="s">
        <v>314</v>
      </c>
      <c r="I262" s="1">
        <v>0</v>
      </c>
      <c r="J262" s="15">
        <v>0</v>
      </c>
      <c r="K262" s="15"/>
      <c r="L262" s="15"/>
      <c r="M262" s="15"/>
      <c r="N262" s="15"/>
      <c r="O262" s="15">
        <f t="shared" si="31"/>
        <v>0</v>
      </c>
      <c r="Q262" s="96"/>
      <c r="T262" s="17">
        <v>0</v>
      </c>
      <c r="U262" s="73">
        <f t="shared" si="32"/>
        <v>0</v>
      </c>
    </row>
    <row r="263" spans="1:25" hidden="1">
      <c r="A263" s="119">
        <v>5442</v>
      </c>
      <c r="D263" s="1" t="s">
        <v>315</v>
      </c>
      <c r="I263" s="1">
        <v>57830</v>
      </c>
      <c r="J263" s="15">
        <v>48201</v>
      </c>
      <c r="K263" s="15"/>
      <c r="L263" s="15"/>
      <c r="M263" s="15"/>
      <c r="N263" s="15"/>
      <c r="O263" s="15">
        <f t="shared" si="31"/>
        <v>48201</v>
      </c>
      <c r="Q263" s="96"/>
      <c r="T263" s="17">
        <v>48201</v>
      </c>
      <c r="U263" s="73">
        <f t="shared" si="32"/>
        <v>-9629</v>
      </c>
      <c r="Y263" s="76">
        <f t="shared" si="29"/>
        <v>-0.16650527407919766</v>
      </c>
    </row>
    <row r="264" spans="1:25" hidden="1">
      <c r="A264" s="119">
        <v>5443</v>
      </c>
      <c r="D264" s="1" t="s">
        <v>316</v>
      </c>
      <c r="I264" s="1">
        <v>6474</v>
      </c>
      <c r="J264" s="15">
        <v>3306</v>
      </c>
      <c r="K264" s="15"/>
      <c r="L264" s="15"/>
      <c r="M264" s="15"/>
      <c r="N264" s="15"/>
      <c r="O264" s="15">
        <f t="shared" si="31"/>
        <v>3306</v>
      </c>
      <c r="Q264" s="96"/>
      <c r="T264" s="17">
        <v>3306</v>
      </c>
      <c r="U264" s="73">
        <f t="shared" si="32"/>
        <v>-3168</v>
      </c>
      <c r="Y264" s="76">
        <f t="shared" si="29"/>
        <v>-0.48934198331788692</v>
      </c>
    </row>
    <row r="265" spans="1:25" hidden="1">
      <c r="A265" s="129">
        <v>5445</v>
      </c>
      <c r="D265" s="1" t="s">
        <v>47</v>
      </c>
      <c r="J265" s="15">
        <v>2583</v>
      </c>
      <c r="K265" s="15"/>
      <c r="L265" s="15"/>
      <c r="M265" s="15"/>
      <c r="N265" s="15"/>
      <c r="O265" s="15">
        <f t="shared" si="31"/>
        <v>2583</v>
      </c>
      <c r="Q265" s="96"/>
      <c r="T265" s="17">
        <v>2583</v>
      </c>
      <c r="U265" s="73">
        <f t="shared" si="32"/>
        <v>2583</v>
      </c>
    </row>
    <row r="266" spans="1:25" hidden="1">
      <c r="A266" s="119">
        <v>5447</v>
      </c>
      <c r="D266" s="1" t="s">
        <v>317</v>
      </c>
      <c r="I266" s="1">
        <v>0</v>
      </c>
      <c r="J266" s="15">
        <v>68</v>
      </c>
      <c r="K266" s="15"/>
      <c r="L266" s="15"/>
      <c r="M266" s="15"/>
      <c r="N266" s="15"/>
      <c r="O266" s="15">
        <f t="shared" si="31"/>
        <v>68</v>
      </c>
      <c r="Q266" s="96"/>
      <c r="T266" s="17">
        <v>68</v>
      </c>
      <c r="U266" s="73">
        <f t="shared" si="32"/>
        <v>68</v>
      </c>
    </row>
    <row r="267" spans="1:25" hidden="1">
      <c r="A267" s="119">
        <v>5454</v>
      </c>
      <c r="D267" s="1" t="s">
        <v>318</v>
      </c>
      <c r="I267" s="1">
        <v>2323</v>
      </c>
      <c r="J267" s="15">
        <v>0</v>
      </c>
      <c r="K267" s="15"/>
      <c r="L267" s="15"/>
      <c r="M267" s="15"/>
      <c r="N267" s="15"/>
      <c r="O267" s="15">
        <f t="shared" si="31"/>
        <v>0</v>
      </c>
      <c r="Q267" s="96"/>
      <c r="T267" s="17">
        <v>0</v>
      </c>
      <c r="U267" s="73">
        <f t="shared" si="32"/>
        <v>-2323</v>
      </c>
      <c r="Y267" s="76">
        <f t="shared" si="29"/>
        <v>-1</v>
      </c>
    </row>
    <row r="268" spans="1:25" hidden="1">
      <c r="A268" s="119">
        <v>5455</v>
      </c>
      <c r="D268" s="1" t="s">
        <v>319</v>
      </c>
      <c r="I268" s="1">
        <v>22568</v>
      </c>
      <c r="J268" s="15">
        <v>26352</v>
      </c>
      <c r="K268" s="15"/>
      <c r="L268" s="15"/>
      <c r="M268" s="15"/>
      <c r="N268" s="15"/>
      <c r="O268" s="15">
        <f t="shared" si="31"/>
        <v>26352</v>
      </c>
      <c r="Q268" s="96"/>
      <c r="T268" s="17">
        <v>26352</v>
      </c>
      <c r="U268" s="73">
        <f t="shared" si="32"/>
        <v>3784</v>
      </c>
      <c r="Y268" s="76">
        <f t="shared" si="29"/>
        <v>0.16767103863878058</v>
      </c>
    </row>
    <row r="269" spans="1:25" hidden="1">
      <c r="A269" s="119">
        <v>5456</v>
      </c>
      <c r="D269" s="1" t="s">
        <v>320</v>
      </c>
      <c r="I269" s="1">
        <v>0</v>
      </c>
      <c r="J269" s="15">
        <v>0</v>
      </c>
      <c r="K269" s="15"/>
      <c r="L269" s="15"/>
      <c r="M269" s="15"/>
      <c r="N269" s="15"/>
      <c r="O269" s="15">
        <f t="shared" si="31"/>
        <v>0</v>
      </c>
      <c r="Q269" s="96"/>
      <c r="T269" s="17">
        <v>0</v>
      </c>
      <c r="U269" s="73">
        <f t="shared" si="32"/>
        <v>0</v>
      </c>
    </row>
    <row r="270" spans="1:25" hidden="1">
      <c r="A270" s="119">
        <v>5459</v>
      </c>
      <c r="D270" s="1" t="s">
        <v>325</v>
      </c>
      <c r="I270" s="1">
        <v>410919</v>
      </c>
      <c r="J270" s="15">
        <v>221439</v>
      </c>
      <c r="K270" s="15"/>
      <c r="L270" s="15"/>
      <c r="M270" s="15"/>
      <c r="N270" s="15"/>
      <c r="O270" s="15">
        <f t="shared" si="31"/>
        <v>221439</v>
      </c>
      <c r="Q270" s="96"/>
      <c r="T270" s="17">
        <v>221439</v>
      </c>
      <c r="U270" s="73">
        <f t="shared" si="32"/>
        <v>-189480</v>
      </c>
      <c r="Y270" s="76">
        <f t="shared" si="29"/>
        <v>-0.46111277405036027</v>
      </c>
    </row>
    <row r="271" spans="1:25" hidden="1">
      <c r="A271" s="119">
        <v>5483</v>
      </c>
      <c r="D271" s="1" t="s">
        <v>326</v>
      </c>
      <c r="I271" s="1">
        <v>335549</v>
      </c>
      <c r="J271" s="15">
        <v>491019</v>
      </c>
      <c r="K271" s="15"/>
      <c r="L271" s="15"/>
      <c r="M271" s="15"/>
      <c r="N271" s="15"/>
      <c r="O271" s="15">
        <f t="shared" si="31"/>
        <v>491019</v>
      </c>
      <c r="Q271" s="96"/>
      <c r="T271" s="17">
        <v>491019</v>
      </c>
      <c r="U271" s="73">
        <f t="shared" si="32"/>
        <v>155470</v>
      </c>
      <c r="Y271" s="76">
        <f t="shared" si="29"/>
        <v>0.46333024386900273</v>
      </c>
    </row>
    <row r="272" spans="1:25" hidden="1">
      <c r="A272" s="119">
        <v>5511</v>
      </c>
      <c r="D272" s="1" t="s">
        <v>327</v>
      </c>
      <c r="I272" s="1">
        <v>7428</v>
      </c>
      <c r="J272" s="15">
        <v>6165</v>
      </c>
      <c r="K272" s="15"/>
      <c r="L272" s="15"/>
      <c r="M272" s="15"/>
      <c r="N272" s="15"/>
      <c r="O272" s="15">
        <f t="shared" si="31"/>
        <v>6165</v>
      </c>
      <c r="Q272" s="96"/>
      <c r="T272" s="17">
        <v>6165</v>
      </c>
      <c r="U272" s="73">
        <f t="shared" si="32"/>
        <v>-1263</v>
      </c>
      <c r="Y272" s="76">
        <f t="shared" si="29"/>
        <v>-0.17003231017770598</v>
      </c>
    </row>
    <row r="273" spans="1:25" hidden="1">
      <c r="A273" s="119">
        <v>5512</v>
      </c>
      <c r="D273" s="1" t="s">
        <v>328</v>
      </c>
      <c r="I273" s="1">
        <v>1062435</v>
      </c>
      <c r="J273" s="15">
        <v>1114687</v>
      </c>
      <c r="K273" s="15"/>
      <c r="L273" s="15"/>
      <c r="M273" s="15"/>
      <c r="N273" s="15"/>
      <c r="O273" s="15">
        <f t="shared" si="31"/>
        <v>1114687</v>
      </c>
      <c r="Q273" s="96"/>
      <c r="T273" s="17">
        <v>1114687</v>
      </c>
      <c r="U273" s="73">
        <f t="shared" si="32"/>
        <v>52252</v>
      </c>
      <c r="Y273" s="76">
        <f t="shared" si="29"/>
        <v>4.9181361683302977E-2</v>
      </c>
    </row>
    <row r="274" spans="1:25" hidden="1">
      <c r="A274" s="129">
        <v>5515</v>
      </c>
      <c r="D274" s="1" t="s">
        <v>48</v>
      </c>
      <c r="J274" s="15">
        <v>-2381</v>
      </c>
      <c r="K274" s="15"/>
      <c r="L274" s="15"/>
      <c r="M274" s="15"/>
      <c r="N274" s="15"/>
      <c r="O274" s="15">
        <f t="shared" si="31"/>
        <v>-2381</v>
      </c>
      <c r="Q274" s="96"/>
      <c r="T274" s="17">
        <v>-2381</v>
      </c>
      <c r="U274" s="73">
        <f t="shared" si="32"/>
        <v>-2381</v>
      </c>
    </row>
    <row r="275" spans="1:25" hidden="1">
      <c r="A275" s="129">
        <v>5516</v>
      </c>
      <c r="D275" s="1" t="s">
        <v>49</v>
      </c>
      <c r="J275" s="15">
        <v>425</v>
      </c>
      <c r="K275" s="15"/>
      <c r="L275" s="15"/>
      <c r="M275" s="15"/>
      <c r="N275" s="15"/>
      <c r="O275" s="15">
        <f t="shared" si="31"/>
        <v>425</v>
      </c>
      <c r="Q275" s="96"/>
      <c r="T275" s="17">
        <v>425</v>
      </c>
      <c r="U275" s="73">
        <f t="shared" si="32"/>
        <v>425</v>
      </c>
    </row>
    <row r="276" spans="1:25" hidden="1">
      <c r="A276" s="119">
        <v>5521</v>
      </c>
      <c r="D276" s="1" t="s">
        <v>329</v>
      </c>
      <c r="I276" s="1">
        <v>15810</v>
      </c>
      <c r="J276" s="15">
        <v>15903</v>
      </c>
      <c r="K276" s="15"/>
      <c r="L276" s="15"/>
      <c r="M276" s="15"/>
      <c r="N276" s="15"/>
      <c r="O276" s="15">
        <f t="shared" si="31"/>
        <v>15903</v>
      </c>
      <c r="Q276" s="96"/>
      <c r="T276" s="17">
        <v>15903</v>
      </c>
      <c r="U276" s="73">
        <f t="shared" si="32"/>
        <v>93</v>
      </c>
      <c r="Y276" s="76">
        <f t="shared" si="29"/>
        <v>5.8823529411764705E-3</v>
      </c>
    </row>
    <row r="277" spans="1:25" hidden="1">
      <c r="A277" s="119">
        <v>5631</v>
      </c>
      <c r="D277" s="1" t="s">
        <v>330</v>
      </c>
      <c r="I277" s="1">
        <v>137260</v>
      </c>
      <c r="J277" s="15">
        <v>148237</v>
      </c>
      <c r="K277" s="15"/>
      <c r="L277" s="15"/>
      <c r="M277" s="15"/>
      <c r="N277" s="15"/>
      <c r="O277" s="15">
        <f t="shared" si="31"/>
        <v>148237</v>
      </c>
      <c r="Q277" s="96"/>
      <c r="T277" s="17">
        <v>148237</v>
      </c>
      <c r="U277" s="73">
        <f t="shared" si="32"/>
        <v>10977</v>
      </c>
      <c r="Y277" s="76">
        <f t="shared" si="29"/>
        <v>7.9972315314002618E-2</v>
      </c>
    </row>
    <row r="278" spans="1:25" hidden="1">
      <c r="A278" s="119">
        <v>5634</v>
      </c>
      <c r="D278" s="1" t="s">
        <v>331</v>
      </c>
      <c r="I278" s="1">
        <v>46104</v>
      </c>
      <c r="J278" s="15">
        <v>45350</v>
      </c>
      <c r="K278" s="15"/>
      <c r="L278" s="15"/>
      <c r="M278" s="15"/>
      <c r="N278" s="15"/>
      <c r="O278" s="15">
        <f t="shared" si="31"/>
        <v>45350</v>
      </c>
      <c r="Q278" s="96"/>
      <c r="T278" s="17">
        <v>45350</v>
      </c>
      <c r="U278" s="73">
        <f t="shared" si="32"/>
        <v>-754</v>
      </c>
      <c r="Y278" s="76">
        <f t="shared" si="29"/>
        <v>-1.6354329342356411E-2</v>
      </c>
    </row>
    <row r="279" spans="1:25" hidden="1">
      <c r="A279" s="119">
        <v>5635</v>
      </c>
      <c r="D279" s="1" t="s">
        <v>332</v>
      </c>
      <c r="I279" s="1">
        <v>4410</v>
      </c>
      <c r="J279" s="15">
        <v>4441</v>
      </c>
      <c r="K279" s="15"/>
      <c r="L279" s="15"/>
      <c r="M279" s="15"/>
      <c r="N279" s="15"/>
      <c r="O279" s="15">
        <f t="shared" si="31"/>
        <v>4441</v>
      </c>
      <c r="Q279" s="96"/>
      <c r="T279" s="17">
        <v>4441</v>
      </c>
      <c r="U279" s="73">
        <f t="shared" si="32"/>
        <v>31</v>
      </c>
      <c r="Y279" s="76">
        <f t="shared" si="29"/>
        <v>7.0294784580498867E-3</v>
      </c>
    </row>
    <row r="280" spans="1:25" hidden="1">
      <c r="A280" s="119">
        <v>5636</v>
      </c>
      <c r="D280" s="1" t="s">
        <v>333</v>
      </c>
      <c r="I280" s="1">
        <v>47013</v>
      </c>
      <c r="J280" s="15">
        <v>32260</v>
      </c>
      <c r="K280" s="15"/>
      <c r="L280" s="15"/>
      <c r="M280" s="15"/>
      <c r="N280" s="15"/>
      <c r="O280" s="15">
        <f t="shared" si="31"/>
        <v>32260</v>
      </c>
      <c r="Q280" s="96"/>
      <c r="T280" s="17">
        <v>32260</v>
      </c>
      <c r="U280" s="73">
        <f t="shared" si="32"/>
        <v>-14753</v>
      </c>
      <c r="Y280" s="76">
        <f t="shared" si="29"/>
        <v>-0.31380681939038141</v>
      </c>
    </row>
    <row r="281" spans="1:25" hidden="1">
      <c r="A281" s="119">
        <v>5637</v>
      </c>
      <c r="D281" s="1" t="s">
        <v>334</v>
      </c>
      <c r="I281" s="1">
        <v>1204</v>
      </c>
      <c r="J281" s="15">
        <v>1707</v>
      </c>
      <c r="K281" s="15"/>
      <c r="L281" s="15"/>
      <c r="M281" s="15"/>
      <c r="N281" s="15"/>
      <c r="O281" s="15">
        <f t="shared" si="31"/>
        <v>1707</v>
      </c>
      <c r="Q281" s="96"/>
      <c r="T281" s="17">
        <v>1707</v>
      </c>
      <c r="U281" s="73">
        <f t="shared" si="32"/>
        <v>503</v>
      </c>
      <c r="Y281" s="76">
        <f t="shared" si="29"/>
        <v>0.41777408637873753</v>
      </c>
    </row>
    <row r="282" spans="1:25" hidden="1">
      <c r="A282" s="129">
        <v>5638</v>
      </c>
      <c r="D282" s="1" t="s">
        <v>50</v>
      </c>
      <c r="J282" s="15">
        <v>20</v>
      </c>
      <c r="K282" s="15"/>
      <c r="L282" s="15"/>
      <c r="M282" s="15"/>
      <c r="N282" s="15"/>
      <c r="O282" s="15">
        <f t="shared" si="31"/>
        <v>20</v>
      </c>
      <c r="Q282" s="96"/>
      <c r="T282" s="17">
        <v>20</v>
      </c>
      <c r="U282" s="73">
        <f t="shared" si="32"/>
        <v>20</v>
      </c>
    </row>
    <row r="283" spans="1:25" hidden="1">
      <c r="A283" s="119">
        <v>5641</v>
      </c>
      <c r="D283" s="1" t="s">
        <v>335</v>
      </c>
      <c r="I283" s="1">
        <v>2922</v>
      </c>
      <c r="J283" s="15">
        <v>347</v>
      </c>
      <c r="K283" s="15"/>
      <c r="L283" s="15"/>
      <c r="M283" s="15"/>
      <c r="N283" s="15"/>
      <c r="O283" s="15">
        <f t="shared" ref="O283:O320" si="33">SUM(J283:N283)</f>
        <v>347</v>
      </c>
      <c r="Q283" s="96"/>
      <c r="T283" s="17">
        <v>347</v>
      </c>
      <c r="U283" s="73">
        <f t="shared" si="32"/>
        <v>-2575</v>
      </c>
      <c r="Y283" s="76">
        <f t="shared" si="29"/>
        <v>-0.88124572210814511</v>
      </c>
    </row>
    <row r="284" spans="1:25" hidden="1">
      <c r="A284" s="119">
        <v>5824</v>
      </c>
      <c r="D284" s="1" t="s">
        <v>336</v>
      </c>
      <c r="I284" s="1">
        <v>150491</v>
      </c>
      <c r="J284" s="15">
        <v>143940</v>
      </c>
      <c r="K284" s="15"/>
      <c r="L284" s="15"/>
      <c r="M284" s="15"/>
      <c r="N284" s="15"/>
      <c r="O284" s="15">
        <f t="shared" si="33"/>
        <v>143940</v>
      </c>
      <c r="Q284" s="96"/>
      <c r="T284" s="17">
        <v>143940</v>
      </c>
      <c r="U284" s="73">
        <f t="shared" si="32"/>
        <v>-6551</v>
      </c>
      <c r="Y284" s="76">
        <f t="shared" si="29"/>
        <v>-4.3530842375956037E-2</v>
      </c>
    </row>
    <row r="285" spans="1:25" hidden="1">
      <c r="A285" s="119">
        <v>5825</v>
      </c>
      <c r="D285" s="1" t="s">
        <v>337</v>
      </c>
      <c r="I285" s="1">
        <v>80200</v>
      </c>
      <c r="J285" s="15">
        <v>99676</v>
      </c>
      <c r="K285" s="15"/>
      <c r="L285" s="15"/>
      <c r="M285" s="15"/>
      <c r="N285" s="15"/>
      <c r="O285" s="15">
        <f t="shared" si="33"/>
        <v>99676</v>
      </c>
      <c r="Q285" s="96"/>
      <c r="T285" s="17">
        <v>99676</v>
      </c>
      <c r="U285" s="73">
        <f t="shared" si="32"/>
        <v>19476</v>
      </c>
      <c r="Y285" s="76">
        <f t="shared" si="29"/>
        <v>0.2428428927680798</v>
      </c>
    </row>
    <row r="286" spans="1:25" hidden="1">
      <c r="A286" s="119">
        <v>5826</v>
      </c>
      <c r="D286" s="1" t="s">
        <v>338</v>
      </c>
      <c r="I286" s="1">
        <v>1131756</v>
      </c>
      <c r="J286" s="15">
        <v>1205177</v>
      </c>
      <c r="K286" s="15"/>
      <c r="L286" s="15"/>
      <c r="M286" s="15"/>
      <c r="N286" s="15"/>
      <c r="O286" s="15">
        <f t="shared" si="33"/>
        <v>1205177</v>
      </c>
      <c r="Q286" s="96"/>
      <c r="T286" s="17">
        <v>1205177</v>
      </c>
      <c r="U286" s="73">
        <f t="shared" si="32"/>
        <v>73421</v>
      </c>
      <c r="Y286" s="76">
        <f t="shared" si="29"/>
        <v>6.4873523975132449E-2</v>
      </c>
    </row>
    <row r="287" spans="1:25" hidden="1">
      <c r="A287" s="127">
        <v>5827</v>
      </c>
      <c r="D287" s="1" t="s">
        <v>477</v>
      </c>
      <c r="I287" s="1">
        <v>182808</v>
      </c>
      <c r="J287" s="15">
        <v>1892169</v>
      </c>
      <c r="K287" s="15"/>
      <c r="L287" s="15"/>
      <c r="M287" s="15"/>
      <c r="N287" s="15"/>
      <c r="O287" s="15">
        <f t="shared" si="33"/>
        <v>1892169</v>
      </c>
      <c r="Q287" s="96"/>
      <c r="T287" s="17">
        <v>1892169</v>
      </c>
      <c r="U287" s="73">
        <f t="shared" si="32"/>
        <v>1709361</v>
      </c>
      <c r="Y287" s="76">
        <f t="shared" si="29"/>
        <v>9.35058093737692</v>
      </c>
    </row>
    <row r="288" spans="1:25" hidden="1">
      <c r="A288" s="119">
        <v>5833</v>
      </c>
      <c r="D288" s="1" t="s">
        <v>340</v>
      </c>
      <c r="I288" s="1">
        <v>1785327</v>
      </c>
      <c r="J288" s="15">
        <v>1820883</v>
      </c>
      <c r="K288" s="15"/>
      <c r="L288" s="15"/>
      <c r="M288" s="15"/>
      <c r="N288" s="15"/>
      <c r="O288" s="15">
        <f t="shared" si="33"/>
        <v>1820883</v>
      </c>
      <c r="Q288" s="96" t="s">
        <v>60</v>
      </c>
      <c r="R288" s="1">
        <f>12875</f>
        <v>12875</v>
      </c>
      <c r="T288" s="17">
        <v>1808008</v>
      </c>
      <c r="U288" s="73">
        <f t="shared" si="32"/>
        <v>22681</v>
      </c>
      <c r="Y288" s="76">
        <f t="shared" si="29"/>
        <v>1.2704115268519436E-2</v>
      </c>
    </row>
    <row r="289" spans="1:25" hidden="1">
      <c r="A289" s="119">
        <v>5834</v>
      </c>
      <c r="D289" s="1" t="s">
        <v>339</v>
      </c>
      <c r="I289" s="1">
        <v>26813</v>
      </c>
      <c r="J289" s="15">
        <v>101057</v>
      </c>
      <c r="K289" s="15"/>
      <c r="L289" s="15"/>
      <c r="M289" s="15"/>
      <c r="N289" s="15"/>
      <c r="O289" s="15">
        <f t="shared" si="33"/>
        <v>101057</v>
      </c>
      <c r="Q289" s="96"/>
      <c r="T289" s="17">
        <v>101057</v>
      </c>
      <c r="U289" s="73">
        <f t="shared" si="32"/>
        <v>74244</v>
      </c>
      <c r="Y289" s="76">
        <f t="shared" si="29"/>
        <v>2.7689553574758512</v>
      </c>
    </row>
    <row r="290" spans="1:25" hidden="1">
      <c r="A290" s="119">
        <v>5846</v>
      </c>
      <c r="D290" s="1" t="s">
        <v>341</v>
      </c>
      <c r="I290" s="1">
        <v>4574</v>
      </c>
      <c r="J290" s="15">
        <v>328</v>
      </c>
      <c r="K290" s="15"/>
      <c r="L290" s="15"/>
      <c r="M290" s="15"/>
      <c r="N290" s="15"/>
      <c r="O290" s="15">
        <f t="shared" si="33"/>
        <v>328</v>
      </c>
      <c r="Q290" s="96"/>
      <c r="T290" s="17">
        <v>328</v>
      </c>
      <c r="U290" s="73">
        <f t="shared" si="32"/>
        <v>-4246</v>
      </c>
      <c r="Y290" s="76">
        <f t="shared" si="29"/>
        <v>-0.92829033668561434</v>
      </c>
    </row>
    <row r="291" spans="1:25" hidden="1">
      <c r="A291" s="129">
        <v>5851</v>
      </c>
      <c r="D291" s="1" t="s">
        <v>51</v>
      </c>
      <c r="J291" s="15">
        <v>10595</v>
      </c>
      <c r="K291" s="15"/>
      <c r="L291" s="15"/>
      <c r="M291" s="15"/>
      <c r="N291" s="15"/>
      <c r="O291" s="15">
        <f t="shared" si="33"/>
        <v>10595</v>
      </c>
      <c r="Q291" s="96"/>
      <c r="T291" s="17">
        <v>10595</v>
      </c>
      <c r="U291" s="73">
        <f t="shared" si="32"/>
        <v>10595</v>
      </c>
    </row>
    <row r="292" spans="1:25" hidden="1">
      <c r="A292" s="119">
        <v>5856</v>
      </c>
      <c r="D292" s="1" t="s">
        <v>342</v>
      </c>
      <c r="I292" s="1">
        <v>4338470</v>
      </c>
      <c r="J292" s="15">
        <v>4955392</v>
      </c>
      <c r="K292" s="15"/>
      <c r="L292" s="15"/>
      <c r="M292" s="15"/>
      <c r="N292" s="15"/>
      <c r="O292" s="15">
        <f t="shared" si="33"/>
        <v>4955392</v>
      </c>
      <c r="Q292" s="96"/>
      <c r="T292" s="17">
        <v>4955392</v>
      </c>
      <c r="U292" s="73">
        <f t="shared" si="32"/>
        <v>616922</v>
      </c>
      <c r="Y292" s="76">
        <f t="shared" si="29"/>
        <v>0.1421980559966993</v>
      </c>
    </row>
    <row r="293" spans="1:25" hidden="1">
      <c r="A293" s="119">
        <v>5857</v>
      </c>
      <c r="D293" s="1" t="s">
        <v>343</v>
      </c>
      <c r="I293" s="1">
        <v>0</v>
      </c>
      <c r="J293" s="15">
        <v>0</v>
      </c>
      <c r="K293" s="15"/>
      <c r="L293" s="15"/>
      <c r="M293" s="15"/>
      <c r="N293" s="15"/>
      <c r="O293" s="15">
        <f t="shared" si="33"/>
        <v>0</v>
      </c>
      <c r="Q293" s="96"/>
      <c r="T293" s="17">
        <v>0</v>
      </c>
      <c r="U293" s="73">
        <f t="shared" si="32"/>
        <v>0</v>
      </c>
    </row>
    <row r="294" spans="1:25" hidden="1">
      <c r="A294" s="119">
        <v>5858</v>
      </c>
      <c r="D294" s="1" t="s">
        <v>344</v>
      </c>
      <c r="I294" s="1">
        <v>1149651</v>
      </c>
      <c r="J294" s="15">
        <v>996108</v>
      </c>
      <c r="K294" s="15"/>
      <c r="L294" s="15"/>
      <c r="M294" s="15"/>
      <c r="N294" s="15"/>
      <c r="O294" s="15">
        <f t="shared" si="33"/>
        <v>996108</v>
      </c>
      <c r="Q294" s="96"/>
      <c r="T294" s="17">
        <v>996108</v>
      </c>
      <c r="U294" s="73">
        <f t="shared" si="32"/>
        <v>-153543</v>
      </c>
      <c r="Y294" s="76">
        <f t="shared" ref="Y294:Y355" si="34">U294/I294</f>
        <v>-0.13355618357223192</v>
      </c>
    </row>
    <row r="295" spans="1:25" hidden="1">
      <c r="A295" s="127">
        <v>5861</v>
      </c>
      <c r="D295" s="1" t="s">
        <v>478</v>
      </c>
      <c r="I295" s="1">
        <v>12000</v>
      </c>
      <c r="J295" s="15">
        <v>0</v>
      </c>
      <c r="K295" s="15"/>
      <c r="L295" s="15"/>
      <c r="M295" s="15"/>
      <c r="N295" s="15"/>
      <c r="O295" s="15">
        <f t="shared" si="33"/>
        <v>0</v>
      </c>
      <c r="Q295" s="96"/>
      <c r="T295" s="17">
        <v>0</v>
      </c>
      <c r="U295" s="73">
        <f t="shared" si="32"/>
        <v>-12000</v>
      </c>
      <c r="Y295" s="76">
        <f t="shared" si="34"/>
        <v>-1</v>
      </c>
    </row>
    <row r="296" spans="1:25" hidden="1">
      <c r="A296" s="119">
        <v>5866</v>
      </c>
      <c r="D296" s="1" t="s">
        <v>345</v>
      </c>
      <c r="I296" s="1">
        <v>9600</v>
      </c>
      <c r="J296" s="15">
        <v>7060</v>
      </c>
      <c r="K296" s="15"/>
      <c r="L296" s="15"/>
      <c r="M296" s="15"/>
      <c r="N296" s="15"/>
      <c r="O296" s="15">
        <f t="shared" si="33"/>
        <v>7060</v>
      </c>
      <c r="Q296" s="96"/>
      <c r="T296" s="17">
        <v>7060</v>
      </c>
      <c r="U296" s="73">
        <f t="shared" si="32"/>
        <v>-2540</v>
      </c>
      <c r="Y296" s="76">
        <f t="shared" si="34"/>
        <v>-0.26458333333333334</v>
      </c>
    </row>
    <row r="297" spans="1:25" hidden="1">
      <c r="A297" s="129">
        <v>5871</v>
      </c>
      <c r="D297" s="1" t="s">
        <v>52</v>
      </c>
      <c r="J297" s="15">
        <v>2436</v>
      </c>
      <c r="K297" s="15"/>
      <c r="L297" s="15"/>
      <c r="M297" s="15"/>
      <c r="N297" s="15"/>
      <c r="O297" s="15">
        <f t="shared" si="33"/>
        <v>2436</v>
      </c>
      <c r="Q297" s="96"/>
      <c r="T297" s="17">
        <v>2436</v>
      </c>
      <c r="U297" s="73">
        <f t="shared" si="32"/>
        <v>2436</v>
      </c>
    </row>
    <row r="298" spans="1:25" hidden="1">
      <c r="A298" s="119">
        <v>5872</v>
      </c>
      <c r="D298" s="1" t="s">
        <v>346</v>
      </c>
      <c r="I298" s="1">
        <v>19568</v>
      </c>
      <c r="J298" s="15">
        <v>19568</v>
      </c>
      <c r="K298" s="15"/>
      <c r="L298" s="15"/>
      <c r="M298" s="15"/>
      <c r="N298" s="15"/>
      <c r="O298" s="15">
        <f t="shared" si="33"/>
        <v>19568</v>
      </c>
      <c r="Q298" s="96"/>
      <c r="T298" s="17">
        <v>19568</v>
      </c>
      <c r="U298" s="73">
        <f t="shared" si="32"/>
        <v>0</v>
      </c>
      <c r="Y298" s="76">
        <f t="shared" si="34"/>
        <v>0</v>
      </c>
    </row>
    <row r="299" spans="1:25" hidden="1">
      <c r="A299" s="119">
        <v>5874</v>
      </c>
      <c r="D299" s="1" t="s">
        <v>347</v>
      </c>
      <c r="I299" s="1">
        <v>64212</v>
      </c>
      <c r="J299" s="15">
        <v>225147</v>
      </c>
      <c r="K299" s="15"/>
      <c r="L299" s="15"/>
      <c r="M299" s="15"/>
      <c r="N299" s="15"/>
      <c r="O299" s="15">
        <f t="shared" si="33"/>
        <v>225147</v>
      </c>
      <c r="Q299" s="96" t="s">
        <v>60</v>
      </c>
      <c r="R299" s="1">
        <f>8250</f>
        <v>8250</v>
      </c>
      <c r="T299" s="17">
        <v>216897</v>
      </c>
      <c r="U299" s="73">
        <f t="shared" si="32"/>
        <v>152685</v>
      </c>
      <c r="Y299" s="76">
        <f t="shared" si="34"/>
        <v>2.3778265744720612</v>
      </c>
    </row>
    <row r="300" spans="1:25" hidden="1">
      <c r="A300" s="127">
        <v>5912</v>
      </c>
      <c r="D300" s="1" t="s">
        <v>479</v>
      </c>
      <c r="I300" s="1">
        <v>9561</v>
      </c>
      <c r="J300" s="15">
        <v>0</v>
      </c>
      <c r="K300" s="15"/>
      <c r="L300" s="15"/>
      <c r="M300" s="15"/>
      <c r="N300" s="15"/>
      <c r="O300" s="15">
        <f t="shared" si="33"/>
        <v>0</v>
      </c>
      <c r="Q300" s="96"/>
      <c r="T300" s="17">
        <v>0</v>
      </c>
      <c r="U300" s="73">
        <f t="shared" si="32"/>
        <v>-9561</v>
      </c>
      <c r="Y300" s="76">
        <f t="shared" si="34"/>
        <v>-1</v>
      </c>
    </row>
    <row r="301" spans="1:25" hidden="1">
      <c r="A301" s="119">
        <v>5926</v>
      </c>
      <c r="D301" s="1" t="s">
        <v>348</v>
      </c>
      <c r="I301" s="1">
        <v>1588</v>
      </c>
      <c r="J301" s="15">
        <v>277</v>
      </c>
      <c r="K301" s="15"/>
      <c r="L301" s="15"/>
      <c r="M301" s="15"/>
      <c r="N301" s="15"/>
      <c r="O301" s="15">
        <f t="shared" si="33"/>
        <v>277</v>
      </c>
      <c r="Q301" s="96"/>
      <c r="T301" s="17">
        <v>277</v>
      </c>
      <c r="U301" s="73">
        <f t="shared" si="32"/>
        <v>-1311</v>
      </c>
      <c r="Y301" s="76">
        <f t="shared" si="34"/>
        <v>-0.82556675062972296</v>
      </c>
    </row>
    <row r="302" spans="1:25" hidden="1">
      <c r="A302" s="119">
        <v>6122</v>
      </c>
      <c r="D302" s="1" t="s">
        <v>349</v>
      </c>
      <c r="I302" s="1">
        <v>11884</v>
      </c>
      <c r="J302" s="15">
        <v>6100</v>
      </c>
      <c r="K302" s="15"/>
      <c r="L302" s="15"/>
      <c r="M302" s="15"/>
      <c r="N302" s="15"/>
      <c r="O302" s="15">
        <f t="shared" si="33"/>
        <v>6100</v>
      </c>
      <c r="Q302" s="96"/>
      <c r="T302" s="17">
        <v>6100</v>
      </c>
      <c r="U302" s="73">
        <f t="shared" si="32"/>
        <v>-5784</v>
      </c>
      <c r="Y302" s="76">
        <f t="shared" si="34"/>
        <v>-0.48670481319421072</v>
      </c>
    </row>
    <row r="303" spans="1:25" hidden="1">
      <c r="A303" s="119">
        <v>6153</v>
      </c>
      <c r="D303" s="1" t="s">
        <v>350</v>
      </c>
      <c r="I303" s="1">
        <v>56135</v>
      </c>
      <c r="J303" s="15">
        <v>65121</v>
      </c>
      <c r="K303" s="15"/>
      <c r="L303" s="15"/>
      <c r="M303" s="15"/>
      <c r="N303" s="15"/>
      <c r="O303" s="15">
        <f t="shared" si="33"/>
        <v>65121</v>
      </c>
      <c r="Q303" s="96"/>
      <c r="T303" s="17">
        <v>65121</v>
      </c>
      <c r="U303" s="73">
        <f t="shared" si="32"/>
        <v>8986</v>
      </c>
      <c r="Y303" s="76">
        <f t="shared" si="34"/>
        <v>0.16007838247082926</v>
      </c>
    </row>
    <row r="304" spans="1:25" hidden="1">
      <c r="A304" s="119">
        <v>6155</v>
      </c>
      <c r="D304" s="1" t="s">
        <v>351</v>
      </c>
      <c r="I304" s="1">
        <v>0</v>
      </c>
      <c r="J304" s="15">
        <v>0</v>
      </c>
      <c r="K304" s="15"/>
      <c r="L304" s="15"/>
      <c r="M304" s="15"/>
      <c r="N304" s="15"/>
      <c r="O304" s="15">
        <f t="shared" si="33"/>
        <v>0</v>
      </c>
      <c r="Q304" s="96"/>
      <c r="T304" s="17">
        <v>0</v>
      </c>
      <c r="U304" s="73">
        <f t="shared" si="32"/>
        <v>0</v>
      </c>
    </row>
    <row r="305" spans="1:25" hidden="1">
      <c r="A305" s="119">
        <v>6161</v>
      </c>
      <c r="D305" s="1" t="s">
        <v>352</v>
      </c>
      <c r="I305" s="1">
        <v>93468</v>
      </c>
      <c r="J305" s="15">
        <v>88865</v>
      </c>
      <c r="K305" s="15"/>
      <c r="L305" s="15"/>
      <c r="M305" s="15"/>
      <c r="N305" s="15"/>
      <c r="O305" s="15">
        <f t="shared" si="33"/>
        <v>88865</v>
      </c>
      <c r="Q305" s="96"/>
      <c r="T305" s="17">
        <v>88865</v>
      </c>
      <c r="U305" s="73">
        <f t="shared" si="32"/>
        <v>-4603</v>
      </c>
      <c r="Y305" s="76">
        <f t="shared" si="34"/>
        <v>-4.9246801044207644E-2</v>
      </c>
    </row>
    <row r="306" spans="1:25" hidden="1">
      <c r="A306" s="129">
        <v>6163</v>
      </c>
      <c r="D306" s="1" t="s">
        <v>53</v>
      </c>
      <c r="J306" s="15">
        <v>42</v>
      </c>
      <c r="K306" s="15"/>
      <c r="L306" s="15"/>
      <c r="M306" s="15"/>
      <c r="N306" s="15"/>
      <c r="O306" s="15">
        <f t="shared" si="33"/>
        <v>42</v>
      </c>
      <c r="Q306" s="96"/>
      <c r="T306" s="17">
        <v>42</v>
      </c>
      <c r="U306" s="73">
        <f t="shared" si="32"/>
        <v>42</v>
      </c>
    </row>
    <row r="307" spans="1:25" hidden="1">
      <c r="A307" s="119">
        <v>6164</v>
      </c>
      <c r="D307" s="1" t="s">
        <v>353</v>
      </c>
      <c r="I307" s="1">
        <v>0</v>
      </c>
      <c r="J307" s="15">
        <v>0</v>
      </c>
      <c r="K307" s="15"/>
      <c r="L307" s="15"/>
      <c r="M307" s="15"/>
      <c r="N307" s="15"/>
      <c r="O307" s="15">
        <f t="shared" si="33"/>
        <v>0</v>
      </c>
      <c r="Q307" s="96"/>
      <c r="T307" s="17">
        <v>0</v>
      </c>
      <c r="U307" s="73">
        <f t="shared" si="32"/>
        <v>0</v>
      </c>
    </row>
    <row r="308" spans="1:25" hidden="1">
      <c r="A308" s="127">
        <v>6165</v>
      </c>
      <c r="D308" s="1" t="s">
        <v>480</v>
      </c>
      <c r="I308" s="1">
        <v>2912</v>
      </c>
      <c r="J308" s="15">
        <v>1171</v>
      </c>
      <c r="K308" s="15"/>
      <c r="L308" s="15"/>
      <c r="M308" s="15"/>
      <c r="N308" s="15"/>
      <c r="O308" s="15">
        <f t="shared" si="33"/>
        <v>1171</v>
      </c>
      <c r="Q308" s="96"/>
      <c r="T308" s="17">
        <v>1171</v>
      </c>
      <c r="U308" s="73">
        <f t="shared" si="32"/>
        <v>-1741</v>
      </c>
      <c r="Y308" s="76">
        <f t="shared" si="34"/>
        <v>-0.59787087912087911</v>
      </c>
    </row>
    <row r="309" spans="1:25" hidden="1">
      <c r="A309" s="119">
        <v>6167</v>
      </c>
      <c r="D309" s="1" t="s">
        <v>354</v>
      </c>
      <c r="I309" s="1">
        <v>259200</v>
      </c>
      <c r="J309" s="15">
        <v>261377</v>
      </c>
      <c r="K309" s="15"/>
      <c r="L309" s="15"/>
      <c r="M309" s="15"/>
      <c r="N309" s="15"/>
      <c r="O309" s="15">
        <f t="shared" si="33"/>
        <v>261377</v>
      </c>
      <c r="Q309" s="96"/>
      <c r="T309" s="17">
        <v>261377</v>
      </c>
      <c r="U309" s="73">
        <f t="shared" si="32"/>
        <v>2177</v>
      </c>
      <c r="Y309" s="76">
        <f t="shared" si="34"/>
        <v>8.3989197530864191E-3</v>
      </c>
    </row>
    <row r="310" spans="1:25" hidden="1">
      <c r="A310" s="119">
        <v>6711</v>
      </c>
      <c r="D310" s="1" t="s">
        <v>355</v>
      </c>
      <c r="I310" s="1">
        <v>22772</v>
      </c>
      <c r="J310" s="15">
        <v>21334</v>
      </c>
      <c r="K310" s="15"/>
      <c r="L310" s="15"/>
      <c r="M310" s="15"/>
      <c r="N310" s="15"/>
      <c r="O310" s="15">
        <f t="shared" si="33"/>
        <v>21334</v>
      </c>
      <c r="Q310" s="96"/>
      <c r="T310" s="17">
        <v>21334</v>
      </c>
      <c r="U310" s="73">
        <f t="shared" si="32"/>
        <v>-1438</v>
      </c>
      <c r="Y310" s="76">
        <f t="shared" si="34"/>
        <v>-6.3147725276655547E-2</v>
      </c>
    </row>
    <row r="311" spans="1:25" hidden="1">
      <c r="A311" s="119">
        <v>6712</v>
      </c>
      <c r="D311" s="1" t="s">
        <v>356</v>
      </c>
      <c r="I311" s="1">
        <v>1266956</v>
      </c>
      <c r="J311" s="15">
        <v>1300861</v>
      </c>
      <c r="K311" s="15"/>
      <c r="L311" s="15"/>
      <c r="M311" s="15"/>
      <c r="N311" s="15"/>
      <c r="O311" s="15">
        <f t="shared" si="33"/>
        <v>1300861</v>
      </c>
      <c r="Q311" s="96"/>
      <c r="T311" s="17">
        <v>1300861</v>
      </c>
      <c r="U311" s="73">
        <f t="shared" si="32"/>
        <v>33905</v>
      </c>
      <c r="Y311" s="76">
        <f t="shared" si="34"/>
        <v>2.6760992489084073E-2</v>
      </c>
    </row>
    <row r="312" spans="1:25" hidden="1">
      <c r="A312" s="119">
        <v>6713</v>
      </c>
      <c r="D312" s="1" t="s">
        <v>357</v>
      </c>
      <c r="I312" s="1">
        <v>8014537</v>
      </c>
      <c r="J312" s="15">
        <v>8262208</v>
      </c>
      <c r="K312" s="15"/>
      <c r="L312" s="15"/>
      <c r="M312" s="15"/>
      <c r="N312" s="15"/>
      <c r="O312" s="15">
        <f t="shared" si="33"/>
        <v>8262208</v>
      </c>
      <c r="Q312" s="96" t="s">
        <v>60</v>
      </c>
      <c r="R312" s="1">
        <f>257697</f>
        <v>257697</v>
      </c>
      <c r="T312" s="17">
        <v>8004511</v>
      </c>
      <c r="U312" s="73">
        <f t="shared" si="32"/>
        <v>-10026</v>
      </c>
      <c r="Y312" s="76">
        <f t="shared" si="34"/>
        <v>-1.2509768187482322E-3</v>
      </c>
    </row>
    <row r="313" spans="1:25" hidden="1">
      <c r="A313" s="119">
        <v>6714</v>
      </c>
      <c r="D313" s="1" t="s">
        <v>358</v>
      </c>
      <c r="I313" s="1">
        <v>999578</v>
      </c>
      <c r="J313" s="15">
        <v>1031147</v>
      </c>
      <c r="K313" s="15"/>
      <c r="L313" s="15"/>
      <c r="M313" s="15"/>
      <c r="N313" s="15"/>
      <c r="O313" s="15">
        <f t="shared" si="33"/>
        <v>1031147</v>
      </c>
      <c r="Q313" s="96"/>
      <c r="T313" s="17">
        <v>1031147</v>
      </c>
      <c r="U313" s="73">
        <f t="shared" si="32"/>
        <v>31569</v>
      </c>
      <c r="Y313" s="76">
        <f t="shared" si="34"/>
        <v>3.1582327742307251E-2</v>
      </c>
    </row>
    <row r="314" spans="1:25" hidden="1">
      <c r="A314" s="119">
        <v>6715</v>
      </c>
      <c r="D314" s="1" t="s">
        <v>359</v>
      </c>
      <c r="I314" s="1">
        <v>3568812</v>
      </c>
      <c r="J314" s="15">
        <v>3703312</v>
      </c>
      <c r="K314" s="15"/>
      <c r="L314" s="15"/>
      <c r="M314" s="15"/>
      <c r="N314" s="15"/>
      <c r="O314" s="15">
        <f t="shared" si="33"/>
        <v>3703312</v>
      </c>
      <c r="Q314" s="96"/>
      <c r="T314" s="17">
        <v>3703312</v>
      </c>
      <c r="U314" s="73">
        <f t="shared" ref="U314:U321" si="35">T314-I314</f>
        <v>134500</v>
      </c>
      <c r="Y314" s="76">
        <f t="shared" si="34"/>
        <v>3.7687611451653939E-2</v>
      </c>
    </row>
    <row r="315" spans="1:25" hidden="1">
      <c r="A315" s="119">
        <v>6717</v>
      </c>
      <c r="D315" s="1" t="s">
        <v>360</v>
      </c>
      <c r="I315" s="1">
        <v>123689</v>
      </c>
      <c r="J315" s="15">
        <v>152805</v>
      </c>
      <c r="K315" s="15"/>
      <c r="L315" s="15"/>
      <c r="M315" s="15"/>
      <c r="N315" s="15"/>
      <c r="O315" s="15">
        <f t="shared" si="33"/>
        <v>152805</v>
      </c>
      <c r="Q315" s="96" t="s">
        <v>60</v>
      </c>
      <c r="R315" s="1">
        <f>9785+4925+1465+3785+3167</f>
        <v>23127</v>
      </c>
      <c r="T315" s="17">
        <v>129678</v>
      </c>
      <c r="U315" s="73">
        <f t="shared" si="35"/>
        <v>5989</v>
      </c>
      <c r="Y315" s="76">
        <f t="shared" si="34"/>
        <v>4.8419827147118982E-2</v>
      </c>
    </row>
    <row r="316" spans="1:25" hidden="1">
      <c r="A316" s="119">
        <v>6718</v>
      </c>
      <c r="D316" s="1" t="s">
        <v>361</v>
      </c>
      <c r="I316" s="1">
        <v>703684</v>
      </c>
      <c r="J316" s="15">
        <v>600661</v>
      </c>
      <c r="K316" s="15"/>
      <c r="L316" s="15"/>
      <c r="M316" s="15"/>
      <c r="N316" s="15"/>
      <c r="O316" s="15">
        <f t="shared" si="33"/>
        <v>600661</v>
      </c>
      <c r="Q316" s="96"/>
      <c r="T316" s="17">
        <v>600661</v>
      </c>
      <c r="U316" s="73">
        <f t="shared" si="35"/>
        <v>-103023</v>
      </c>
      <c r="Y316" s="76">
        <f t="shared" si="34"/>
        <v>-0.14640520460888695</v>
      </c>
    </row>
    <row r="317" spans="1:25" hidden="1">
      <c r="A317" s="119">
        <v>6733</v>
      </c>
      <c r="D317" s="1" t="s">
        <v>362</v>
      </c>
      <c r="I317" s="1">
        <v>122628</v>
      </c>
      <c r="J317" s="15">
        <v>349955</v>
      </c>
      <c r="K317" s="15"/>
      <c r="L317" s="15"/>
      <c r="M317" s="15"/>
      <c r="N317" s="15"/>
      <c r="O317" s="15">
        <f t="shared" si="33"/>
        <v>349955</v>
      </c>
      <c r="Q317" s="96" t="s">
        <v>60</v>
      </c>
      <c r="R317" s="1">
        <f>113801</f>
        <v>113801</v>
      </c>
      <c r="T317" s="17">
        <v>236154</v>
      </c>
      <c r="U317" s="73">
        <f t="shared" si="35"/>
        <v>113526</v>
      </c>
      <c r="Y317" s="76">
        <f t="shared" si="34"/>
        <v>0.92577551619532239</v>
      </c>
    </row>
    <row r="318" spans="1:25" hidden="1">
      <c r="A318" s="119">
        <v>6734</v>
      </c>
      <c r="D318" s="1" t="s">
        <v>363</v>
      </c>
      <c r="I318" s="1">
        <v>59526</v>
      </c>
      <c r="J318" s="15">
        <v>129938</v>
      </c>
      <c r="K318" s="15"/>
      <c r="L318" s="15"/>
      <c r="M318" s="15"/>
      <c r="N318" s="15"/>
      <c r="O318" s="15">
        <f t="shared" si="33"/>
        <v>129938</v>
      </c>
      <c r="Q318" s="96"/>
      <c r="T318" s="17">
        <v>129938</v>
      </c>
      <c r="U318" s="73">
        <f t="shared" si="35"/>
        <v>70412</v>
      </c>
      <c r="Y318" s="76">
        <f t="shared" si="34"/>
        <v>1.1828780700870207</v>
      </c>
    </row>
    <row r="319" spans="1:25" hidden="1">
      <c r="A319" s="119">
        <v>6738</v>
      </c>
      <c r="D319" s="1" t="s">
        <v>364</v>
      </c>
      <c r="I319" s="1">
        <v>28052</v>
      </c>
      <c r="J319" s="15">
        <v>30685</v>
      </c>
      <c r="K319" s="15"/>
      <c r="L319" s="15"/>
      <c r="M319" s="15"/>
      <c r="N319" s="15"/>
      <c r="O319" s="15">
        <f t="shared" si="33"/>
        <v>30685</v>
      </c>
      <c r="Q319" s="96"/>
      <c r="T319" s="17">
        <v>30685</v>
      </c>
      <c r="U319" s="73">
        <f t="shared" si="35"/>
        <v>2633</v>
      </c>
      <c r="Y319" s="76">
        <f t="shared" si="34"/>
        <v>9.3861400256666186E-2</v>
      </c>
    </row>
    <row r="320" spans="1:25" hidden="1">
      <c r="A320" s="119">
        <v>6821</v>
      </c>
      <c r="D320" s="1" t="s">
        <v>365</v>
      </c>
      <c r="I320" s="1">
        <v>2524128</v>
      </c>
      <c r="J320" s="15">
        <v>2632268</v>
      </c>
      <c r="K320" s="15"/>
      <c r="L320" s="15"/>
      <c r="M320" s="15"/>
      <c r="N320" s="15"/>
      <c r="O320" s="15">
        <f t="shared" si="33"/>
        <v>2632268</v>
      </c>
      <c r="Q320" s="96" t="s">
        <v>60</v>
      </c>
      <c r="R320" s="1">
        <f>9056</f>
        <v>9056</v>
      </c>
      <c r="T320" s="17">
        <v>2623212</v>
      </c>
      <c r="U320" s="73">
        <f t="shared" si="35"/>
        <v>99084</v>
      </c>
      <c r="Y320" s="76">
        <f t="shared" si="34"/>
        <v>3.925474460883125E-2</v>
      </c>
    </row>
    <row r="321" spans="1:25" hidden="1">
      <c r="C321" s="8" t="s">
        <v>366</v>
      </c>
      <c r="G321" s="35">
        <f t="shared" ref="G321:O321" si="36">+SUM(G242:G320)</f>
        <v>28725733</v>
      </c>
      <c r="H321" s="35">
        <f t="shared" si="36"/>
        <v>29800642</v>
      </c>
      <c r="I321" s="35">
        <v>31507733</v>
      </c>
      <c r="J321" s="35">
        <f t="shared" si="36"/>
        <v>34749687</v>
      </c>
      <c r="K321" s="35">
        <f t="shared" si="36"/>
        <v>0</v>
      </c>
      <c r="L321" s="35">
        <f t="shared" si="36"/>
        <v>0</v>
      </c>
      <c r="M321" s="35">
        <f t="shared" si="36"/>
        <v>0</v>
      </c>
      <c r="N321" s="35">
        <f t="shared" si="36"/>
        <v>0</v>
      </c>
      <c r="O321" s="35">
        <f t="shared" si="36"/>
        <v>34749687</v>
      </c>
      <c r="P321" s="35">
        <f>+SUM(P242:P320)</f>
        <v>0</v>
      </c>
      <c r="Q321" s="95"/>
      <c r="R321" s="35">
        <f>+SUM(R242:R320)</f>
        <v>424806</v>
      </c>
      <c r="S321" s="35"/>
      <c r="T321" s="21">
        <v>34324881</v>
      </c>
      <c r="U321" s="73">
        <f t="shared" si="35"/>
        <v>2817148</v>
      </c>
      <c r="Y321" s="76">
        <f t="shared" si="34"/>
        <v>8.9411320071805869E-2</v>
      </c>
    </row>
    <row r="322" spans="1:25" hidden="1">
      <c r="A322" s="117"/>
      <c r="B322" s="61" t="s">
        <v>105</v>
      </c>
      <c r="D322" s="16"/>
      <c r="F322" s="62"/>
      <c r="G322" s="15">
        <v>2756198</v>
      </c>
      <c r="H322" s="15">
        <v>2501073</v>
      </c>
      <c r="I322" s="15">
        <v>0</v>
      </c>
      <c r="J322" s="15"/>
      <c r="K322" s="15"/>
      <c r="L322" s="22"/>
      <c r="M322" s="22"/>
      <c r="N322" s="22"/>
      <c r="O322" s="17"/>
      <c r="P322" s="15"/>
      <c r="Q322" s="95"/>
      <c r="R322" s="19"/>
      <c r="S322" s="19"/>
      <c r="T322" s="17">
        <v>0</v>
      </c>
      <c r="U322" s="73">
        <f>T322-H322</f>
        <v>-2501073</v>
      </c>
    </row>
    <row r="323" spans="1:25" hidden="1">
      <c r="A323" s="119">
        <v>5181</v>
      </c>
      <c r="D323" s="1" t="s">
        <v>367</v>
      </c>
      <c r="I323" s="1">
        <v>542</v>
      </c>
      <c r="J323" s="15">
        <v>18707</v>
      </c>
      <c r="K323" s="15"/>
      <c r="L323" s="15"/>
      <c r="M323" s="15"/>
      <c r="N323" s="15"/>
      <c r="O323" s="15">
        <f t="shared" ref="O323:O368" si="37">SUM(J323:N323)</f>
        <v>18707</v>
      </c>
      <c r="Q323" s="96"/>
      <c r="T323" s="17">
        <v>18707</v>
      </c>
      <c r="U323" s="73">
        <f t="shared" ref="U323:U370" si="38">T323-I323</f>
        <v>18165</v>
      </c>
      <c r="Y323" s="76">
        <f t="shared" si="34"/>
        <v>33.514760147601478</v>
      </c>
    </row>
    <row r="324" spans="1:25" hidden="1">
      <c r="A324" s="127">
        <v>5186</v>
      </c>
      <c r="D324" s="1" t="s">
        <v>481</v>
      </c>
      <c r="I324" s="1">
        <v>148</v>
      </c>
      <c r="J324" s="15">
        <v>44</v>
      </c>
      <c r="K324" s="15"/>
      <c r="L324" s="15"/>
      <c r="M324" s="15"/>
      <c r="N324" s="15"/>
      <c r="O324" s="15">
        <f t="shared" si="37"/>
        <v>44</v>
      </c>
      <c r="Q324" s="96"/>
      <c r="T324" s="17">
        <v>44</v>
      </c>
      <c r="U324" s="73">
        <f t="shared" si="38"/>
        <v>-104</v>
      </c>
      <c r="Y324" s="76">
        <f t="shared" si="34"/>
        <v>-0.70270270270270274</v>
      </c>
    </row>
    <row r="325" spans="1:25" hidden="1">
      <c r="A325" s="119">
        <v>5188</v>
      </c>
      <c r="D325" s="1" t="s">
        <v>368</v>
      </c>
      <c r="I325" s="1">
        <v>25439</v>
      </c>
      <c r="J325" s="15">
        <v>53070</v>
      </c>
      <c r="K325" s="15"/>
      <c r="L325" s="15"/>
      <c r="M325" s="15"/>
      <c r="N325" s="15"/>
      <c r="O325" s="15">
        <f t="shared" si="37"/>
        <v>53070</v>
      </c>
      <c r="P325" s="1">
        <v>9687</v>
      </c>
      <c r="Q325" s="96" t="s">
        <v>75</v>
      </c>
      <c r="T325" s="17">
        <v>62757</v>
      </c>
      <c r="U325" s="73">
        <f t="shared" si="38"/>
        <v>37318</v>
      </c>
      <c r="Y325" s="76">
        <f t="shared" si="34"/>
        <v>1.466960179252329</v>
      </c>
    </row>
    <row r="326" spans="1:25" hidden="1">
      <c r="A326" s="119">
        <v>5194</v>
      </c>
      <c r="D326" s="1" t="s">
        <v>369</v>
      </c>
      <c r="I326" s="1">
        <v>30250</v>
      </c>
      <c r="J326" s="15">
        <v>19066</v>
      </c>
      <c r="K326" s="15"/>
      <c r="L326" s="15"/>
      <c r="M326" s="15"/>
      <c r="N326" s="15"/>
      <c r="O326" s="15">
        <f t="shared" si="37"/>
        <v>19066</v>
      </c>
      <c r="Q326" s="96"/>
      <c r="T326" s="17">
        <v>19066</v>
      </c>
      <c r="U326" s="73">
        <f t="shared" si="38"/>
        <v>-11184</v>
      </c>
      <c r="Y326" s="76">
        <f t="shared" si="34"/>
        <v>-0.3697190082644628</v>
      </c>
    </row>
    <row r="327" spans="1:25" hidden="1">
      <c r="A327" s="119">
        <v>5195</v>
      </c>
      <c r="D327" s="1" t="s">
        <v>370</v>
      </c>
      <c r="I327" s="1">
        <v>6510</v>
      </c>
      <c r="J327" s="15">
        <v>3227</v>
      </c>
      <c r="K327" s="15"/>
      <c r="L327" s="15"/>
      <c r="M327" s="15"/>
      <c r="N327" s="15"/>
      <c r="O327" s="15">
        <f t="shared" si="37"/>
        <v>3227</v>
      </c>
      <c r="Q327" s="96"/>
      <c r="T327" s="17">
        <v>3227</v>
      </c>
      <c r="U327" s="73">
        <f t="shared" si="38"/>
        <v>-3283</v>
      </c>
      <c r="Y327" s="76">
        <f t="shared" si="34"/>
        <v>-0.50430107526881718</v>
      </c>
    </row>
    <row r="328" spans="1:25" hidden="1">
      <c r="A328" s="119">
        <v>5197</v>
      </c>
      <c r="D328" s="1" t="s">
        <v>371</v>
      </c>
      <c r="I328" s="1">
        <v>113531</v>
      </c>
      <c r="J328" s="15">
        <v>121717</v>
      </c>
      <c r="K328" s="15"/>
      <c r="L328" s="15"/>
      <c r="M328" s="15"/>
      <c r="N328" s="15"/>
      <c r="O328" s="15">
        <f t="shared" si="37"/>
        <v>121717</v>
      </c>
      <c r="Q328" s="96"/>
      <c r="T328" s="17">
        <v>121717</v>
      </c>
      <c r="U328" s="73">
        <f t="shared" si="38"/>
        <v>8186</v>
      </c>
      <c r="Y328" s="76">
        <f t="shared" si="34"/>
        <v>7.2103654508460249E-2</v>
      </c>
    </row>
    <row r="329" spans="1:25" hidden="1">
      <c r="A329" s="119">
        <v>5321</v>
      </c>
      <c r="D329" s="1" t="s">
        <v>372</v>
      </c>
      <c r="I329" s="1">
        <v>3742</v>
      </c>
      <c r="J329" s="15">
        <v>0</v>
      </c>
      <c r="K329" s="15"/>
      <c r="L329" s="15"/>
      <c r="M329" s="15"/>
      <c r="N329" s="15"/>
      <c r="O329" s="15">
        <f t="shared" si="37"/>
        <v>0</v>
      </c>
      <c r="Q329" s="96"/>
      <c r="T329" s="17">
        <v>0</v>
      </c>
      <c r="U329" s="73">
        <f t="shared" si="38"/>
        <v>-3742</v>
      </c>
      <c r="Y329" s="76">
        <f t="shared" si="34"/>
        <v>-1</v>
      </c>
    </row>
    <row r="330" spans="1:25" hidden="1">
      <c r="A330" s="119">
        <v>5331</v>
      </c>
      <c r="D330" s="1" t="s">
        <v>373</v>
      </c>
      <c r="I330" s="1">
        <v>206239</v>
      </c>
      <c r="J330" s="15">
        <v>226667</v>
      </c>
      <c r="K330" s="15"/>
      <c r="L330" s="15"/>
      <c r="M330" s="15"/>
      <c r="N330" s="15"/>
      <c r="O330" s="15">
        <f t="shared" si="37"/>
        <v>226667</v>
      </c>
      <c r="Q330" s="96"/>
      <c r="T330" s="17">
        <v>226667</v>
      </c>
      <c r="U330" s="73">
        <f t="shared" si="38"/>
        <v>20428</v>
      </c>
      <c r="Y330" s="76">
        <f t="shared" si="34"/>
        <v>9.9050131158510274E-2</v>
      </c>
    </row>
    <row r="331" spans="1:25" hidden="1">
      <c r="A331" s="127">
        <v>5332</v>
      </c>
      <c r="D331" s="1" t="s">
        <v>374</v>
      </c>
      <c r="I331" s="1">
        <v>345</v>
      </c>
      <c r="J331" s="15">
        <v>540</v>
      </c>
      <c r="K331" s="15"/>
      <c r="L331" s="15"/>
      <c r="M331" s="15"/>
      <c r="N331" s="15"/>
      <c r="O331" s="15">
        <f t="shared" si="37"/>
        <v>540</v>
      </c>
      <c r="Q331" s="96"/>
      <c r="T331" s="17">
        <v>540</v>
      </c>
      <c r="U331" s="73">
        <f t="shared" si="38"/>
        <v>195</v>
      </c>
      <c r="Y331" s="76">
        <f t="shared" si="34"/>
        <v>0.56521739130434778</v>
      </c>
    </row>
    <row r="332" spans="1:25" hidden="1">
      <c r="A332" s="119">
        <v>5343</v>
      </c>
      <c r="D332" s="1" t="s">
        <v>375</v>
      </c>
      <c r="I332" s="1">
        <v>34585</v>
      </c>
      <c r="J332" s="15">
        <v>32054</v>
      </c>
      <c r="K332" s="15"/>
      <c r="L332" s="15"/>
      <c r="M332" s="15"/>
      <c r="N332" s="15"/>
      <c r="O332" s="15">
        <f t="shared" si="37"/>
        <v>32054</v>
      </c>
      <c r="Q332" s="96"/>
      <c r="T332" s="17">
        <v>32054</v>
      </c>
      <c r="U332" s="73">
        <f t="shared" si="38"/>
        <v>-2531</v>
      </c>
      <c r="Y332" s="76">
        <f t="shared" si="34"/>
        <v>-7.3182015324562671E-2</v>
      </c>
    </row>
    <row r="333" spans="1:25" hidden="1">
      <c r="A333" s="119">
        <v>5613</v>
      </c>
      <c r="D333" s="1" t="s">
        <v>380</v>
      </c>
      <c r="I333" s="1">
        <v>119427</v>
      </c>
      <c r="J333" s="15">
        <v>225000</v>
      </c>
      <c r="K333" s="15"/>
      <c r="L333" s="15"/>
      <c r="M333" s="15"/>
      <c r="N333" s="15"/>
      <c r="O333" s="15">
        <f t="shared" si="37"/>
        <v>225000</v>
      </c>
      <c r="Q333" s="96" t="s">
        <v>60</v>
      </c>
      <c r="R333" s="1">
        <f>134267</f>
        <v>134267</v>
      </c>
      <c r="T333" s="17">
        <v>90733</v>
      </c>
      <c r="U333" s="73">
        <f t="shared" si="38"/>
        <v>-28694</v>
      </c>
      <c r="Y333" s="76">
        <f t="shared" si="34"/>
        <v>-0.24026392691769868</v>
      </c>
    </row>
    <row r="334" spans="1:25" hidden="1">
      <c r="A334" s="119">
        <v>5615</v>
      </c>
      <c r="D334" s="1" t="s">
        <v>381</v>
      </c>
      <c r="I334" s="1">
        <v>0</v>
      </c>
      <c r="J334" s="15">
        <v>1434</v>
      </c>
      <c r="K334" s="15"/>
      <c r="L334" s="15"/>
      <c r="M334" s="15"/>
      <c r="N334" s="15"/>
      <c r="O334" s="15">
        <f t="shared" si="37"/>
        <v>1434</v>
      </c>
      <c r="Q334" s="96"/>
      <c r="T334" s="17">
        <v>1434</v>
      </c>
      <c r="U334" s="73">
        <f t="shared" si="38"/>
        <v>1434</v>
      </c>
    </row>
    <row r="335" spans="1:25" hidden="1">
      <c r="A335" s="119">
        <v>5711</v>
      </c>
      <c r="D335" s="1" t="s">
        <v>382</v>
      </c>
      <c r="I335" s="1">
        <v>21911</v>
      </c>
      <c r="J335" s="15">
        <v>34657</v>
      </c>
      <c r="K335" s="15"/>
      <c r="L335" s="15"/>
      <c r="M335" s="15"/>
      <c r="N335" s="15"/>
      <c r="O335" s="15">
        <f t="shared" si="37"/>
        <v>34657</v>
      </c>
      <c r="Q335" s="96"/>
      <c r="T335" s="17">
        <v>34657</v>
      </c>
      <c r="U335" s="73">
        <f t="shared" si="38"/>
        <v>12746</v>
      </c>
      <c r="Y335" s="76">
        <f t="shared" si="34"/>
        <v>0.58171694582629729</v>
      </c>
    </row>
    <row r="336" spans="1:25" hidden="1">
      <c r="A336" s="119">
        <v>5712</v>
      </c>
      <c r="D336" s="1" t="s">
        <v>383</v>
      </c>
      <c r="I336" s="1">
        <v>41557</v>
      </c>
      <c r="J336" s="15">
        <v>47467</v>
      </c>
      <c r="K336" s="15"/>
      <c r="L336" s="15"/>
      <c r="M336" s="15"/>
      <c r="N336" s="15"/>
      <c r="O336" s="15">
        <f t="shared" si="37"/>
        <v>47467</v>
      </c>
      <c r="Q336" s="96"/>
      <c r="T336" s="17">
        <v>47467</v>
      </c>
      <c r="U336" s="73">
        <f t="shared" si="38"/>
        <v>5910</v>
      </c>
      <c r="Y336" s="76">
        <f t="shared" si="34"/>
        <v>0.1422143080588108</v>
      </c>
    </row>
    <row r="337" spans="1:25" hidden="1">
      <c r="A337" s="119">
        <v>5713</v>
      </c>
      <c r="D337" s="1" t="s">
        <v>384</v>
      </c>
      <c r="I337" s="1">
        <v>9360</v>
      </c>
      <c r="J337" s="15">
        <v>7819</v>
      </c>
      <c r="K337" s="15"/>
      <c r="L337" s="15"/>
      <c r="M337" s="15"/>
      <c r="N337" s="15"/>
      <c r="O337" s="15">
        <f t="shared" si="37"/>
        <v>7819</v>
      </c>
      <c r="Q337" s="96"/>
      <c r="T337" s="17">
        <v>7819</v>
      </c>
      <c r="U337" s="73">
        <f t="shared" si="38"/>
        <v>-1541</v>
      </c>
      <c r="Y337" s="76">
        <f t="shared" si="34"/>
        <v>-0.16463675213675213</v>
      </c>
    </row>
    <row r="338" spans="1:25" hidden="1">
      <c r="A338" s="119">
        <v>5714</v>
      </c>
      <c r="D338" s="1" t="s">
        <v>385</v>
      </c>
      <c r="I338" s="1">
        <v>25797</v>
      </c>
      <c r="J338" s="15">
        <v>32065</v>
      </c>
      <c r="K338" s="15"/>
      <c r="L338" s="15"/>
      <c r="M338" s="15"/>
      <c r="N338" s="15"/>
      <c r="O338" s="15">
        <f t="shared" si="37"/>
        <v>32065</v>
      </c>
      <c r="Q338" s="96"/>
      <c r="T338" s="17">
        <v>32065</v>
      </c>
      <c r="U338" s="73">
        <f t="shared" si="38"/>
        <v>6268</v>
      </c>
      <c r="Y338" s="76">
        <f t="shared" si="34"/>
        <v>0.24297398922355312</v>
      </c>
    </row>
    <row r="339" spans="1:25" hidden="1">
      <c r="A339" s="119">
        <v>5716</v>
      </c>
      <c r="D339" s="1" t="s">
        <v>386</v>
      </c>
      <c r="I339" s="1">
        <v>3778</v>
      </c>
      <c r="J339" s="15">
        <v>152</v>
      </c>
      <c r="K339" s="15"/>
      <c r="L339" s="15"/>
      <c r="M339" s="15"/>
      <c r="N339" s="15"/>
      <c r="O339" s="15">
        <f t="shared" si="37"/>
        <v>152</v>
      </c>
      <c r="Q339" s="96"/>
      <c r="T339" s="17">
        <v>152</v>
      </c>
      <c r="U339" s="73">
        <f t="shared" si="38"/>
        <v>-3626</v>
      </c>
      <c r="Y339" s="76">
        <f t="shared" si="34"/>
        <v>-0.95976707252514559</v>
      </c>
    </row>
    <row r="340" spans="1:25" hidden="1">
      <c r="A340" s="119">
        <v>5717</v>
      </c>
      <c r="D340" s="1" t="s">
        <v>387</v>
      </c>
      <c r="I340" s="1">
        <v>1750</v>
      </c>
      <c r="J340" s="15">
        <v>3750</v>
      </c>
      <c r="K340" s="15"/>
      <c r="L340" s="15"/>
      <c r="M340" s="15"/>
      <c r="N340" s="15"/>
      <c r="O340" s="15">
        <f t="shared" si="37"/>
        <v>3750</v>
      </c>
      <c r="Q340" s="96"/>
      <c r="T340" s="17">
        <v>3750</v>
      </c>
      <c r="U340" s="73">
        <f t="shared" si="38"/>
        <v>2000</v>
      </c>
      <c r="Y340" s="76">
        <f t="shared" si="34"/>
        <v>1.1428571428571428</v>
      </c>
    </row>
    <row r="341" spans="1:25" hidden="1">
      <c r="A341" s="119">
        <v>5721</v>
      </c>
      <c r="D341" s="1" t="s">
        <v>388</v>
      </c>
      <c r="I341" s="1">
        <v>44661</v>
      </c>
      <c r="J341" s="15">
        <v>48078</v>
      </c>
      <c r="K341" s="15"/>
      <c r="L341" s="15"/>
      <c r="M341" s="15"/>
      <c r="N341" s="15"/>
      <c r="O341" s="15">
        <f t="shared" si="37"/>
        <v>48078</v>
      </c>
      <c r="Q341" s="96"/>
      <c r="T341" s="17">
        <v>48078</v>
      </c>
      <c r="U341" s="73">
        <f t="shared" si="38"/>
        <v>3417</v>
      </c>
      <c r="Y341" s="76">
        <f t="shared" si="34"/>
        <v>7.6509706455296561E-2</v>
      </c>
    </row>
    <row r="342" spans="1:25" hidden="1">
      <c r="A342" s="119">
        <v>5722</v>
      </c>
      <c r="D342" s="1" t="s">
        <v>389</v>
      </c>
      <c r="I342" s="1">
        <v>2160</v>
      </c>
      <c r="J342" s="15">
        <v>810</v>
      </c>
      <c r="K342" s="15"/>
      <c r="L342" s="15"/>
      <c r="M342" s="15"/>
      <c r="N342" s="15"/>
      <c r="O342" s="15">
        <f t="shared" si="37"/>
        <v>810</v>
      </c>
      <c r="Q342" s="96"/>
      <c r="T342" s="17">
        <v>810</v>
      </c>
      <c r="U342" s="73">
        <f t="shared" si="38"/>
        <v>-1350</v>
      </c>
      <c r="Y342" s="76">
        <f t="shared" si="34"/>
        <v>-0.625</v>
      </c>
    </row>
    <row r="343" spans="1:25" hidden="1">
      <c r="A343" s="119">
        <v>5724</v>
      </c>
      <c r="D343" s="1" t="s">
        <v>390</v>
      </c>
      <c r="I343" s="1">
        <v>12771</v>
      </c>
      <c r="J343" s="15">
        <v>11986</v>
      </c>
      <c r="K343" s="15"/>
      <c r="L343" s="15"/>
      <c r="M343" s="15"/>
      <c r="N343" s="15"/>
      <c r="O343" s="15">
        <f t="shared" si="37"/>
        <v>11986</v>
      </c>
      <c r="Q343" s="96"/>
      <c r="T343" s="17">
        <v>11986</v>
      </c>
      <c r="U343" s="73">
        <f t="shared" si="38"/>
        <v>-785</v>
      </c>
      <c r="Y343" s="76">
        <f t="shared" si="34"/>
        <v>-6.14673870487824E-2</v>
      </c>
    </row>
    <row r="344" spans="1:25" hidden="1">
      <c r="A344" s="119">
        <v>5731</v>
      </c>
      <c r="D344" s="1" t="s">
        <v>391</v>
      </c>
      <c r="I344" s="1">
        <v>36106</v>
      </c>
      <c r="J344" s="15">
        <v>62474</v>
      </c>
      <c r="K344" s="15"/>
      <c r="L344" s="15"/>
      <c r="M344" s="15"/>
      <c r="N344" s="15"/>
      <c r="O344" s="15">
        <f t="shared" si="37"/>
        <v>62474</v>
      </c>
      <c r="Q344" s="96"/>
      <c r="T344" s="17">
        <v>62474</v>
      </c>
      <c r="U344" s="73">
        <f t="shared" si="38"/>
        <v>26368</v>
      </c>
      <c r="Y344" s="76">
        <f t="shared" si="34"/>
        <v>0.73029413393895748</v>
      </c>
    </row>
    <row r="345" spans="1:25" hidden="1">
      <c r="A345" s="119">
        <v>5732</v>
      </c>
      <c r="D345" s="1" t="s">
        <v>392</v>
      </c>
      <c r="I345" s="1">
        <v>2659</v>
      </c>
      <c r="J345" s="15">
        <v>2468</v>
      </c>
      <c r="K345" s="15"/>
      <c r="L345" s="15"/>
      <c r="M345" s="15"/>
      <c r="N345" s="15"/>
      <c r="O345" s="15">
        <f t="shared" si="37"/>
        <v>2468</v>
      </c>
      <c r="Q345" s="96"/>
      <c r="T345" s="17">
        <v>2468</v>
      </c>
      <c r="U345" s="73">
        <f t="shared" si="38"/>
        <v>-191</v>
      </c>
      <c r="Y345" s="76">
        <f t="shared" si="34"/>
        <v>-7.1831515607371194E-2</v>
      </c>
    </row>
    <row r="346" spans="1:25" hidden="1">
      <c r="A346" s="119">
        <v>5733</v>
      </c>
      <c r="D346" s="1" t="s">
        <v>393</v>
      </c>
      <c r="I346" s="1">
        <v>54550</v>
      </c>
      <c r="J346" s="15">
        <v>4197</v>
      </c>
      <c r="K346" s="15"/>
      <c r="L346" s="15"/>
      <c r="M346" s="15"/>
      <c r="N346" s="15"/>
      <c r="O346" s="15">
        <f t="shared" si="37"/>
        <v>4197</v>
      </c>
      <c r="Q346" s="96"/>
      <c r="T346" s="17">
        <v>4197</v>
      </c>
      <c r="U346" s="73">
        <f t="shared" si="38"/>
        <v>-50353</v>
      </c>
      <c r="Y346" s="76">
        <f t="shared" si="34"/>
        <v>-0.92306141154903754</v>
      </c>
    </row>
    <row r="347" spans="1:25" hidden="1">
      <c r="A347" s="119">
        <v>5951</v>
      </c>
      <c r="D347" s="1" t="s">
        <v>394</v>
      </c>
      <c r="I347" s="1">
        <v>7495</v>
      </c>
      <c r="J347" s="15">
        <v>7838</v>
      </c>
      <c r="K347" s="15"/>
      <c r="L347" s="15"/>
      <c r="M347" s="15"/>
      <c r="N347" s="15"/>
      <c r="O347" s="15">
        <f t="shared" si="37"/>
        <v>7838</v>
      </c>
      <c r="Q347" s="96"/>
      <c r="T347" s="17">
        <v>7838</v>
      </c>
      <c r="U347" s="73">
        <f t="shared" si="38"/>
        <v>343</v>
      </c>
      <c r="Y347" s="76">
        <f t="shared" si="34"/>
        <v>4.5763842561707804E-2</v>
      </c>
    </row>
    <row r="348" spans="1:25" hidden="1">
      <c r="A348" s="119">
        <v>5953</v>
      </c>
      <c r="D348" s="1" t="s">
        <v>395</v>
      </c>
      <c r="I348" s="1">
        <v>895</v>
      </c>
      <c r="J348" s="15">
        <v>558</v>
      </c>
      <c r="K348" s="15"/>
      <c r="L348" s="15"/>
      <c r="M348" s="15"/>
      <c r="N348" s="15"/>
      <c r="O348" s="15">
        <f t="shared" si="37"/>
        <v>558</v>
      </c>
      <c r="Q348" s="96"/>
      <c r="T348" s="17">
        <v>558</v>
      </c>
      <c r="U348" s="73">
        <f t="shared" si="38"/>
        <v>-337</v>
      </c>
      <c r="Y348" s="76">
        <f t="shared" si="34"/>
        <v>-0.376536312849162</v>
      </c>
    </row>
    <row r="349" spans="1:25" hidden="1">
      <c r="A349" s="119">
        <v>5954</v>
      </c>
      <c r="D349" s="1" t="s">
        <v>396</v>
      </c>
      <c r="I349" s="1">
        <v>0</v>
      </c>
      <c r="J349" s="15">
        <v>0</v>
      </c>
      <c r="K349" s="15"/>
      <c r="L349" s="15"/>
      <c r="M349" s="15"/>
      <c r="N349" s="15"/>
      <c r="O349" s="15">
        <f t="shared" si="37"/>
        <v>0</v>
      </c>
      <c r="Q349" s="96"/>
      <c r="T349" s="17">
        <v>0</v>
      </c>
      <c r="U349" s="73">
        <f t="shared" si="38"/>
        <v>0</v>
      </c>
    </row>
    <row r="350" spans="1:25" hidden="1">
      <c r="A350" s="119">
        <v>5955</v>
      </c>
      <c r="D350" s="1" t="s">
        <v>397</v>
      </c>
      <c r="I350" s="1">
        <v>199923</v>
      </c>
      <c r="J350" s="15">
        <v>364494</v>
      </c>
      <c r="K350" s="15"/>
      <c r="L350" s="15"/>
      <c r="M350" s="15"/>
      <c r="N350" s="15"/>
      <c r="O350" s="15">
        <f t="shared" si="37"/>
        <v>364494</v>
      </c>
      <c r="Q350" s="96"/>
      <c r="T350" s="17">
        <v>364494</v>
      </c>
      <c r="U350" s="73">
        <f t="shared" si="38"/>
        <v>164571</v>
      </c>
      <c r="Y350" s="76">
        <f t="shared" si="34"/>
        <v>0.82317192118965798</v>
      </c>
    </row>
    <row r="351" spans="1:25" hidden="1">
      <c r="A351" s="119">
        <v>5956</v>
      </c>
      <c r="D351" s="1" t="s">
        <v>398</v>
      </c>
      <c r="I351" s="1">
        <v>0</v>
      </c>
      <c r="J351" s="15">
        <v>0</v>
      </c>
      <c r="K351" s="15"/>
      <c r="L351" s="15"/>
      <c r="M351" s="15"/>
      <c r="N351" s="15"/>
      <c r="O351" s="15">
        <f t="shared" si="37"/>
        <v>0</v>
      </c>
      <c r="Q351" s="96"/>
      <c r="T351" s="17">
        <v>0</v>
      </c>
      <c r="U351" s="73">
        <f t="shared" si="38"/>
        <v>0</v>
      </c>
    </row>
    <row r="352" spans="1:25" hidden="1">
      <c r="A352" s="129">
        <v>5968</v>
      </c>
      <c r="D352" s="1" t="s">
        <v>54</v>
      </c>
      <c r="J352" s="15">
        <v>31093</v>
      </c>
      <c r="K352" s="15"/>
      <c r="L352" s="15"/>
      <c r="M352" s="15"/>
      <c r="N352" s="15"/>
      <c r="O352" s="15">
        <f t="shared" si="37"/>
        <v>31093</v>
      </c>
      <c r="Q352" s="96"/>
      <c r="T352" s="17">
        <v>31093</v>
      </c>
      <c r="U352" s="73">
        <f t="shared" si="38"/>
        <v>31093</v>
      </c>
    </row>
    <row r="353" spans="1:25" hidden="1">
      <c r="A353" s="119">
        <v>5969</v>
      </c>
      <c r="D353" s="1" t="s">
        <v>399</v>
      </c>
      <c r="I353" s="1">
        <v>540736</v>
      </c>
      <c r="J353" s="15">
        <v>525864</v>
      </c>
      <c r="K353" s="15"/>
      <c r="L353" s="15"/>
      <c r="M353" s="15"/>
      <c r="N353" s="15"/>
      <c r="O353" s="15">
        <f t="shared" si="37"/>
        <v>525864</v>
      </c>
      <c r="Q353" s="96"/>
      <c r="T353" s="17">
        <v>525864</v>
      </c>
      <c r="U353" s="73">
        <f t="shared" si="38"/>
        <v>-14872</v>
      </c>
      <c r="Y353" s="76">
        <f t="shared" si="34"/>
        <v>-2.7503254823055982E-2</v>
      </c>
    </row>
    <row r="354" spans="1:25" hidden="1">
      <c r="A354" s="119">
        <v>5972</v>
      </c>
      <c r="D354" s="1" t="s">
        <v>400</v>
      </c>
      <c r="I354" s="1">
        <v>0</v>
      </c>
      <c r="J354" s="15">
        <v>0</v>
      </c>
      <c r="K354" s="15"/>
      <c r="L354" s="15"/>
      <c r="M354" s="15"/>
      <c r="N354" s="15"/>
      <c r="O354" s="15">
        <f t="shared" si="37"/>
        <v>0</v>
      </c>
      <c r="Q354" s="96"/>
      <c r="T354" s="17">
        <v>0</v>
      </c>
      <c r="U354" s="73">
        <f t="shared" si="38"/>
        <v>0</v>
      </c>
    </row>
    <row r="355" spans="1:25" hidden="1">
      <c r="A355" s="119">
        <v>6265</v>
      </c>
      <c r="D355" s="1" t="s">
        <v>401</v>
      </c>
      <c r="I355" s="1">
        <v>-940</v>
      </c>
      <c r="J355" s="15">
        <v>0</v>
      </c>
      <c r="K355" s="15"/>
      <c r="L355" s="15"/>
      <c r="M355" s="15"/>
      <c r="N355" s="15"/>
      <c r="O355" s="15">
        <f t="shared" si="37"/>
        <v>0</v>
      </c>
      <c r="Q355" s="96"/>
      <c r="T355" s="17">
        <v>0</v>
      </c>
      <c r="U355" s="73">
        <f t="shared" si="38"/>
        <v>940</v>
      </c>
      <c r="Y355" s="76">
        <f t="shared" si="34"/>
        <v>-1</v>
      </c>
    </row>
    <row r="356" spans="1:25" hidden="1">
      <c r="A356" s="129">
        <v>6311</v>
      </c>
      <c r="D356" s="1" t="s">
        <v>55</v>
      </c>
      <c r="J356" s="15">
        <v>9000000</v>
      </c>
      <c r="K356" s="15"/>
      <c r="L356" s="15"/>
      <c r="M356" s="15"/>
      <c r="N356" s="15"/>
      <c r="O356" s="15">
        <f t="shared" si="37"/>
        <v>9000000</v>
      </c>
      <c r="Q356" s="96" t="s">
        <v>69</v>
      </c>
      <c r="R356" s="1">
        <f>9000000</f>
        <v>9000000</v>
      </c>
      <c r="T356" s="17">
        <v>0</v>
      </c>
      <c r="U356" s="73">
        <f t="shared" si="38"/>
        <v>0</v>
      </c>
    </row>
    <row r="357" spans="1:25" hidden="1">
      <c r="A357" s="119">
        <v>6413</v>
      </c>
      <c r="D357" s="1" t="s">
        <v>402</v>
      </c>
      <c r="I357" s="1">
        <v>0</v>
      </c>
      <c r="J357" s="15">
        <v>20900</v>
      </c>
      <c r="K357" s="15"/>
      <c r="L357" s="15"/>
      <c r="M357" s="15"/>
      <c r="N357" s="15"/>
      <c r="O357" s="15">
        <f t="shared" si="37"/>
        <v>20900</v>
      </c>
      <c r="Q357" s="96"/>
      <c r="T357" s="17">
        <v>20900</v>
      </c>
      <c r="U357" s="73">
        <f t="shared" si="38"/>
        <v>20900</v>
      </c>
    </row>
    <row r="358" spans="1:25" hidden="1">
      <c r="A358" s="119">
        <v>6611</v>
      </c>
      <c r="D358" s="1" t="s">
        <v>403</v>
      </c>
      <c r="I358" s="1">
        <v>161158</v>
      </c>
      <c r="J358" s="15">
        <v>151514</v>
      </c>
      <c r="K358" s="15"/>
      <c r="L358" s="15"/>
      <c r="M358" s="15"/>
      <c r="N358" s="15"/>
      <c r="O358" s="15">
        <f t="shared" si="37"/>
        <v>151514</v>
      </c>
      <c r="Q358" s="96"/>
      <c r="T358" s="17">
        <v>151514</v>
      </c>
      <c r="U358" s="73">
        <f t="shared" si="38"/>
        <v>-9644</v>
      </c>
      <c r="Y358" s="76">
        <f t="shared" ref="Y358:Y421" si="39">U358/I358</f>
        <v>-5.9841894290075581E-2</v>
      </c>
    </row>
    <row r="359" spans="1:25" hidden="1">
      <c r="A359" s="119">
        <v>6724</v>
      </c>
      <c r="D359" s="1" t="s">
        <v>404</v>
      </c>
      <c r="I359" s="1">
        <v>35650</v>
      </c>
      <c r="J359" s="15">
        <v>7150</v>
      </c>
      <c r="K359" s="15"/>
      <c r="L359" s="15"/>
      <c r="M359" s="15"/>
      <c r="N359" s="15"/>
      <c r="O359" s="15">
        <f t="shared" si="37"/>
        <v>7150</v>
      </c>
      <c r="Q359" s="96"/>
      <c r="T359" s="17">
        <v>7150</v>
      </c>
      <c r="U359" s="73">
        <f t="shared" si="38"/>
        <v>-28500</v>
      </c>
      <c r="Y359" s="76">
        <f t="shared" si="39"/>
        <v>-0.79943899018232822</v>
      </c>
    </row>
    <row r="360" spans="1:25" hidden="1">
      <c r="A360" s="127">
        <v>6725</v>
      </c>
      <c r="D360" s="1" t="s">
        <v>482</v>
      </c>
      <c r="I360" s="1">
        <v>9000</v>
      </c>
      <c r="J360" s="15">
        <v>22270</v>
      </c>
      <c r="K360" s="15"/>
      <c r="L360" s="15"/>
      <c r="M360" s="15"/>
      <c r="N360" s="15"/>
      <c r="O360" s="15">
        <f t="shared" si="37"/>
        <v>22270</v>
      </c>
      <c r="Q360" s="96"/>
      <c r="T360" s="17">
        <v>22270</v>
      </c>
      <c r="U360" s="73">
        <f t="shared" si="38"/>
        <v>13270</v>
      </c>
      <c r="Y360" s="76">
        <f t="shared" si="39"/>
        <v>1.4744444444444444</v>
      </c>
    </row>
    <row r="361" spans="1:25" hidden="1">
      <c r="A361" s="119">
        <v>6726</v>
      </c>
      <c r="D361" s="1" t="s">
        <v>405</v>
      </c>
      <c r="I361" s="1">
        <v>1036184</v>
      </c>
      <c r="J361" s="15">
        <v>1037836</v>
      </c>
      <c r="K361" s="15"/>
      <c r="L361" s="15"/>
      <c r="M361" s="15"/>
      <c r="N361" s="15"/>
      <c r="O361" s="15">
        <f t="shared" si="37"/>
        <v>1037836</v>
      </c>
      <c r="Q361" s="96"/>
      <c r="T361" s="17">
        <v>1037836</v>
      </c>
      <c r="U361" s="73">
        <f t="shared" si="38"/>
        <v>1652</v>
      </c>
      <c r="Y361" s="76">
        <f t="shared" si="39"/>
        <v>1.5943114350347042E-3</v>
      </c>
    </row>
    <row r="362" spans="1:25" hidden="1">
      <c r="A362" s="119">
        <v>6727</v>
      </c>
      <c r="D362" s="1" t="s">
        <v>406</v>
      </c>
      <c r="I362" s="1">
        <v>31643</v>
      </c>
      <c r="J362" s="15">
        <v>33234</v>
      </c>
      <c r="K362" s="15"/>
      <c r="L362" s="15"/>
      <c r="M362" s="15"/>
      <c r="N362" s="15"/>
      <c r="O362" s="15">
        <f t="shared" si="37"/>
        <v>33234</v>
      </c>
      <c r="Q362" s="96"/>
      <c r="T362" s="17">
        <v>33234</v>
      </c>
      <c r="U362" s="73">
        <f t="shared" si="38"/>
        <v>1591</v>
      </c>
      <c r="Y362" s="76">
        <f t="shared" si="39"/>
        <v>5.027968271023607E-2</v>
      </c>
    </row>
    <row r="363" spans="1:25" hidden="1">
      <c r="A363" s="119">
        <v>6728</v>
      </c>
      <c r="D363" s="1" t="s">
        <v>407</v>
      </c>
      <c r="I363" s="1">
        <v>18171</v>
      </c>
      <c r="J363" s="15">
        <v>19389</v>
      </c>
      <c r="K363" s="15"/>
      <c r="L363" s="15"/>
      <c r="M363" s="15"/>
      <c r="N363" s="15"/>
      <c r="O363" s="15">
        <f t="shared" si="37"/>
        <v>19389</v>
      </c>
      <c r="Q363" s="96"/>
      <c r="T363" s="17">
        <v>19389</v>
      </c>
      <c r="U363" s="73">
        <f t="shared" si="38"/>
        <v>1218</v>
      </c>
      <c r="Y363" s="76">
        <f t="shared" si="39"/>
        <v>6.7029882780254249E-2</v>
      </c>
    </row>
    <row r="364" spans="1:25" hidden="1">
      <c r="A364" s="119">
        <v>6729</v>
      </c>
      <c r="D364" s="1" t="s">
        <v>408</v>
      </c>
      <c r="I364" s="1">
        <v>270</v>
      </c>
      <c r="J364" s="15">
        <v>0</v>
      </c>
      <c r="K364" s="15"/>
      <c r="L364" s="15"/>
      <c r="M364" s="15"/>
      <c r="N364" s="15"/>
      <c r="O364" s="15">
        <f t="shared" si="37"/>
        <v>0</v>
      </c>
      <c r="Q364" s="96"/>
      <c r="T364" s="17">
        <v>0</v>
      </c>
      <c r="U364" s="73">
        <f t="shared" si="38"/>
        <v>-270</v>
      </c>
      <c r="Y364" s="76">
        <f t="shared" si="39"/>
        <v>-1</v>
      </c>
    </row>
    <row r="365" spans="1:25" hidden="1">
      <c r="A365" s="129">
        <v>6731</v>
      </c>
      <c r="D365" s="1" t="s">
        <v>56</v>
      </c>
      <c r="J365" s="15">
        <v>51500</v>
      </c>
      <c r="K365" s="15"/>
      <c r="L365" s="15"/>
      <c r="M365" s="15"/>
      <c r="N365" s="15"/>
      <c r="O365" s="15">
        <f t="shared" si="37"/>
        <v>51500</v>
      </c>
      <c r="Q365" s="96" t="s">
        <v>60</v>
      </c>
      <c r="R365" s="1">
        <f>51500</f>
        <v>51500</v>
      </c>
      <c r="T365" s="17">
        <v>0</v>
      </c>
      <c r="U365" s="73">
        <f t="shared" si="38"/>
        <v>0</v>
      </c>
    </row>
    <row r="366" spans="1:25" hidden="1">
      <c r="A366" s="119">
        <v>6739</v>
      </c>
      <c r="D366" s="1" t="s">
        <v>409</v>
      </c>
      <c r="I366" s="1">
        <v>43616</v>
      </c>
      <c r="J366" s="15">
        <v>41800</v>
      </c>
      <c r="K366" s="15"/>
      <c r="L366" s="15"/>
      <c r="M366" s="15"/>
      <c r="N366" s="15"/>
      <c r="O366" s="15">
        <f t="shared" si="37"/>
        <v>41800</v>
      </c>
      <c r="Q366" s="96"/>
      <c r="T366" s="17">
        <v>41800</v>
      </c>
      <c r="U366" s="73">
        <f t="shared" si="38"/>
        <v>-1816</v>
      </c>
      <c r="Y366" s="76">
        <f t="shared" si="39"/>
        <v>-4.1636096845194426E-2</v>
      </c>
    </row>
    <row r="367" spans="1:25" hidden="1">
      <c r="A367" s="119">
        <v>6814</v>
      </c>
      <c r="D367" s="1" t="s">
        <v>410</v>
      </c>
      <c r="I367" s="1">
        <v>34893</v>
      </c>
      <c r="J367" s="15">
        <v>30720</v>
      </c>
      <c r="K367" s="15"/>
      <c r="L367" s="15"/>
      <c r="M367" s="15"/>
      <c r="N367" s="15"/>
      <c r="O367" s="15">
        <f t="shared" si="37"/>
        <v>30720</v>
      </c>
      <c r="Q367" s="96"/>
      <c r="T367" s="17">
        <v>30720</v>
      </c>
      <c r="U367" s="73">
        <f t="shared" si="38"/>
        <v>-4173</v>
      </c>
      <c r="Y367" s="76">
        <f t="shared" si="39"/>
        <v>-0.11959418794600636</v>
      </c>
    </row>
    <row r="368" spans="1:25" hidden="1">
      <c r="A368" s="130" t="s">
        <v>61</v>
      </c>
      <c r="J368" s="15"/>
      <c r="K368" s="15"/>
      <c r="L368" s="15">
        <v>96416</v>
      </c>
      <c r="M368" s="15"/>
      <c r="N368" s="15">
        <v>1768</v>
      </c>
      <c r="O368" s="15">
        <f t="shared" si="37"/>
        <v>98184</v>
      </c>
      <c r="Q368" s="96" t="s">
        <v>70</v>
      </c>
      <c r="R368" s="1">
        <f>96415.75+1768.04</f>
        <v>98183.79</v>
      </c>
      <c r="T368" s="17">
        <v>0.21000000000640284</v>
      </c>
      <c r="U368" s="73">
        <f t="shared" si="38"/>
        <v>0.21000000000640284</v>
      </c>
    </row>
    <row r="369" spans="1:26" hidden="1">
      <c r="C369" s="8" t="s">
        <v>411</v>
      </c>
      <c r="G369" s="35">
        <f>+SUM(G322:G367)</f>
        <v>2756198</v>
      </c>
      <c r="H369" s="35">
        <f>+SUM(H322:H367)</f>
        <v>2501073</v>
      </c>
      <c r="I369" s="35">
        <v>2916512</v>
      </c>
      <c r="J369" s="35">
        <f>+SUM(J322:J368)</f>
        <v>12303609</v>
      </c>
      <c r="K369" s="35">
        <f>+SUM(K322:K367)</f>
        <v>0</v>
      </c>
      <c r="L369" s="35">
        <f>+SUM(L322:L368)</f>
        <v>96416</v>
      </c>
      <c r="M369" s="35">
        <f>+SUM(M322:M368)</f>
        <v>0</v>
      </c>
      <c r="N369" s="35">
        <f>+SUM(N322:N368)</f>
        <v>1768</v>
      </c>
      <c r="O369" s="35">
        <f>+SUM(O322:O368)</f>
        <v>12401793</v>
      </c>
      <c r="P369" s="35">
        <f>+SUM(P322:P368)</f>
        <v>9687</v>
      </c>
      <c r="Q369" s="95"/>
      <c r="R369" s="35">
        <f>+SUM(R322:R368)</f>
        <v>9283950.7899999991</v>
      </c>
      <c r="S369" s="35"/>
      <c r="T369" s="21">
        <v>3127529.21</v>
      </c>
      <c r="U369" s="73">
        <f t="shared" si="38"/>
        <v>211017.20999999996</v>
      </c>
      <c r="Y369" s="76">
        <f t="shared" si="39"/>
        <v>7.2352594469009546E-2</v>
      </c>
      <c r="Z369" s="89" t="s">
        <v>18</v>
      </c>
    </row>
    <row r="370" spans="1:26" hidden="1">
      <c r="A370" s="117">
        <v>6716</v>
      </c>
      <c r="B370" s="61" t="s">
        <v>106</v>
      </c>
      <c r="D370" s="16"/>
      <c r="F370" s="62"/>
      <c r="G370" s="35">
        <v>2482833</v>
      </c>
      <c r="H370" s="35">
        <v>2543413</v>
      </c>
      <c r="I370" s="35">
        <v>2705849</v>
      </c>
      <c r="J370" s="35">
        <v>3046633</v>
      </c>
      <c r="K370" s="35"/>
      <c r="L370" s="64"/>
      <c r="M370" s="64"/>
      <c r="N370" s="64"/>
      <c r="O370" s="35">
        <f>SUM(J370:N370)</f>
        <v>3046633</v>
      </c>
      <c r="P370" s="35"/>
      <c r="Q370" s="95"/>
      <c r="R370" s="35"/>
      <c r="S370" s="35"/>
      <c r="T370" s="21">
        <v>3046633</v>
      </c>
      <c r="U370" s="73">
        <f t="shared" si="38"/>
        <v>340784</v>
      </c>
      <c r="Y370" s="76">
        <f t="shared" si="39"/>
        <v>0.12594346543358481</v>
      </c>
    </row>
    <row r="371" spans="1:26" hidden="1">
      <c r="A371" s="117"/>
      <c r="B371" s="61"/>
      <c r="D371" s="16"/>
      <c r="F371" s="62"/>
      <c r="G371" s="21"/>
      <c r="H371" s="21"/>
      <c r="I371" s="21"/>
      <c r="J371" s="21"/>
      <c r="K371" s="21"/>
      <c r="L371" s="65"/>
      <c r="M371" s="65"/>
      <c r="N371" s="65"/>
      <c r="O371" s="21"/>
      <c r="P371" s="21"/>
      <c r="Q371" s="95"/>
      <c r="R371" s="21"/>
      <c r="S371" s="21"/>
      <c r="T371" s="21"/>
    </row>
    <row r="372" spans="1:26" hidden="1">
      <c r="A372" s="117"/>
      <c r="B372" s="4" t="s">
        <v>107</v>
      </c>
      <c r="D372" s="16"/>
      <c r="F372" s="16"/>
      <c r="G372" s="15">
        <v>9868163</v>
      </c>
      <c r="H372" s="15">
        <v>9890591</v>
      </c>
      <c r="I372" s="15">
        <v>0</v>
      </c>
      <c r="J372" s="15"/>
      <c r="K372" s="15"/>
      <c r="L372" s="22"/>
      <c r="M372" s="22"/>
      <c r="N372" s="22"/>
      <c r="O372" s="17">
        <f>SUM(J372:N372)</f>
        <v>0</v>
      </c>
      <c r="P372" s="17"/>
      <c r="Q372" s="95"/>
      <c r="R372" s="29"/>
      <c r="S372" s="29"/>
      <c r="T372" s="17">
        <v>0</v>
      </c>
      <c r="U372" s="73">
        <f>T372-H372</f>
        <v>-9890591</v>
      </c>
    </row>
    <row r="373" spans="1:26" hidden="1">
      <c r="A373" s="119">
        <v>7545</v>
      </c>
      <c r="D373" s="1" t="s">
        <v>412</v>
      </c>
      <c r="I373" s="1">
        <v>9992446</v>
      </c>
      <c r="J373" s="15">
        <v>10033336</v>
      </c>
      <c r="K373" s="15"/>
      <c r="L373" s="15"/>
      <c r="M373" s="15"/>
      <c r="N373" s="15"/>
      <c r="O373" s="15">
        <f>SUM(J373:N373)</f>
        <v>10033336</v>
      </c>
      <c r="Q373" s="96"/>
      <c r="T373" s="17">
        <v>10033336</v>
      </c>
      <c r="U373" s="73">
        <f>T373-I373</f>
        <v>40890</v>
      </c>
      <c r="Y373" s="76">
        <f t="shared" si="39"/>
        <v>4.0920911656665447E-3</v>
      </c>
    </row>
    <row r="374" spans="1:26" hidden="1">
      <c r="A374" s="119">
        <v>7546</v>
      </c>
      <c r="D374" s="1" t="s">
        <v>413</v>
      </c>
      <c r="I374" s="1">
        <v>16873</v>
      </c>
      <c r="J374" s="15">
        <v>339179</v>
      </c>
      <c r="K374" s="15"/>
      <c r="L374" s="15"/>
      <c r="M374" s="15"/>
      <c r="N374" s="15"/>
      <c r="O374" s="15">
        <f>SUM(J374:N374)</f>
        <v>339179</v>
      </c>
      <c r="P374" s="1">
        <v>17093.77</v>
      </c>
      <c r="Q374" s="96" t="s">
        <v>58</v>
      </c>
      <c r="T374" s="17">
        <v>356272.77</v>
      </c>
      <c r="U374" s="73">
        <f>T374-I374</f>
        <v>339399.77</v>
      </c>
      <c r="Y374" s="76">
        <f t="shared" si="39"/>
        <v>20.114962958572868</v>
      </c>
    </row>
    <row r="375" spans="1:26" hidden="1">
      <c r="C375" s="8" t="s">
        <v>414</v>
      </c>
      <c r="G375" s="35">
        <f>+SUM(G372:G374)</f>
        <v>9868163</v>
      </c>
      <c r="H375" s="35">
        <f t="shared" ref="H375:R375" si="40">+SUM(H372:H374)</f>
        <v>9890591</v>
      </c>
      <c r="I375" s="35">
        <v>10009319</v>
      </c>
      <c r="J375" s="35">
        <f t="shared" si="40"/>
        <v>10372515</v>
      </c>
      <c r="K375" s="35">
        <f t="shared" si="40"/>
        <v>0</v>
      </c>
      <c r="L375" s="35">
        <f t="shared" si="40"/>
        <v>0</v>
      </c>
      <c r="M375" s="35">
        <f t="shared" si="40"/>
        <v>0</v>
      </c>
      <c r="N375" s="35">
        <f t="shared" si="40"/>
        <v>0</v>
      </c>
      <c r="O375" s="35">
        <f t="shared" si="40"/>
        <v>10372515</v>
      </c>
      <c r="P375" s="35">
        <f t="shared" si="40"/>
        <v>17093.77</v>
      </c>
      <c r="Q375" s="95"/>
      <c r="R375" s="35">
        <f t="shared" si="40"/>
        <v>0</v>
      </c>
      <c r="S375" s="35"/>
      <c r="T375" s="21">
        <v>10389608.77</v>
      </c>
      <c r="U375" s="73">
        <f>T375-I375</f>
        <v>380289.76999999955</v>
      </c>
      <c r="Y375" s="76">
        <f t="shared" si="39"/>
        <v>3.7993570791379466E-2</v>
      </c>
    </row>
    <row r="376" spans="1:26" hidden="1">
      <c r="A376" s="126"/>
      <c r="B376" s="48" t="s">
        <v>108</v>
      </c>
      <c r="D376" s="44"/>
      <c r="F376" s="44"/>
      <c r="G376" s="31"/>
      <c r="H376" s="31"/>
      <c r="I376" s="31">
        <v>0</v>
      </c>
      <c r="J376" s="66"/>
      <c r="K376" s="15"/>
      <c r="L376" s="22"/>
      <c r="M376" s="22"/>
      <c r="N376" s="22"/>
      <c r="O376" s="17">
        <f>SUM(J376:N376)</f>
        <v>0</v>
      </c>
      <c r="P376" s="17"/>
      <c r="Q376" s="95"/>
      <c r="R376" s="29"/>
      <c r="S376" s="29"/>
      <c r="T376" s="17">
        <v>0</v>
      </c>
    </row>
    <row r="377" spans="1:26" hidden="1">
      <c r="A377" s="126">
        <v>7311</v>
      </c>
      <c r="B377" s="44"/>
      <c r="D377" s="44" t="s">
        <v>415</v>
      </c>
      <c r="F377" s="44"/>
      <c r="G377" s="31"/>
      <c r="H377" s="31"/>
      <c r="I377" s="31">
        <v>0</v>
      </c>
      <c r="J377" s="66">
        <v>10552</v>
      </c>
      <c r="K377" s="15"/>
      <c r="L377" s="22"/>
      <c r="M377" s="22"/>
      <c r="N377" s="22"/>
      <c r="O377" s="17">
        <f>SUM(J377:N377)</f>
        <v>10552</v>
      </c>
      <c r="P377" s="17"/>
      <c r="Q377" s="95" t="s">
        <v>63</v>
      </c>
      <c r="R377" s="17">
        <f>5036.43+5515.79</f>
        <v>10552.220000000001</v>
      </c>
      <c r="S377" s="29"/>
      <c r="T377" s="17">
        <v>-0.22000000000116415</v>
      </c>
    </row>
    <row r="378" spans="1:26" hidden="1">
      <c r="A378" s="126">
        <v>7312</v>
      </c>
      <c r="B378" s="44"/>
      <c r="D378" s="44" t="s">
        <v>416</v>
      </c>
      <c r="F378" s="44"/>
      <c r="G378" s="31"/>
      <c r="H378" s="31"/>
      <c r="I378" s="31">
        <v>0</v>
      </c>
      <c r="J378" s="66">
        <v>323741</v>
      </c>
      <c r="K378" s="15"/>
      <c r="L378" s="22"/>
      <c r="M378" s="22"/>
      <c r="N378" s="22"/>
      <c r="O378" s="17">
        <f>SUM(J378:N378)</f>
        <v>323741</v>
      </c>
      <c r="P378" s="17"/>
      <c r="Q378" s="95" t="s">
        <v>63</v>
      </c>
      <c r="R378" s="17">
        <v>323741.21999999997</v>
      </c>
      <c r="S378" s="29"/>
      <c r="T378" s="17">
        <v>-0.21999999997206032</v>
      </c>
    </row>
    <row r="379" spans="1:26" hidden="1">
      <c r="A379" s="131">
        <v>7211</v>
      </c>
      <c r="B379" s="44"/>
      <c r="D379" s="1" t="s">
        <v>483</v>
      </c>
      <c r="F379" s="44"/>
      <c r="G379" s="31"/>
      <c r="H379" s="31"/>
      <c r="I379" s="31">
        <v>0</v>
      </c>
      <c r="J379" s="66">
        <v>0</v>
      </c>
      <c r="K379" s="15"/>
      <c r="L379" s="22"/>
      <c r="M379" s="22"/>
      <c r="N379" s="22"/>
      <c r="O379" s="17">
        <f>SUM(J379:N379)</f>
        <v>0</v>
      </c>
      <c r="P379" s="17"/>
      <c r="Q379" s="95"/>
      <c r="R379" s="17">
        <v>0</v>
      </c>
      <c r="S379" s="29"/>
      <c r="T379" s="17">
        <v>0</v>
      </c>
    </row>
    <row r="380" spans="1:26" hidden="1">
      <c r="C380" s="8" t="s">
        <v>417</v>
      </c>
      <c r="G380" s="35">
        <f>+SUM(G376:G378)</f>
        <v>0</v>
      </c>
      <c r="H380" s="35">
        <f>+SUM(H376:H378)</f>
        <v>0</v>
      </c>
      <c r="I380" s="35">
        <v>0</v>
      </c>
      <c r="J380" s="35">
        <f>+SUM(J376:J379)</f>
        <v>334293</v>
      </c>
      <c r="K380" s="35">
        <f>+SUM(K376:K378)</f>
        <v>0</v>
      </c>
      <c r="L380" s="35">
        <f>+SUM(L376:L379)</f>
        <v>0</v>
      </c>
      <c r="M380" s="35">
        <f>+SUM(M376:M379)</f>
        <v>0</v>
      </c>
      <c r="N380" s="35">
        <f>+SUM(N376:N379)</f>
        <v>0</v>
      </c>
      <c r="O380" s="35">
        <f>+SUM(O376:O379)</f>
        <v>334293</v>
      </c>
      <c r="P380" s="35">
        <f>+SUM(P376:P379)</f>
        <v>0</v>
      </c>
      <c r="Q380" s="95"/>
      <c r="R380" s="35">
        <f>+SUM(R376:R379)</f>
        <v>334293.43999999994</v>
      </c>
      <c r="S380" s="35"/>
      <c r="T380" s="21">
        <v>-0.43999999997322448</v>
      </c>
    </row>
    <row r="381" spans="1:26" hidden="1">
      <c r="A381" s="117"/>
      <c r="B381" s="61" t="s">
        <v>109</v>
      </c>
      <c r="D381" s="16"/>
      <c r="F381" s="62"/>
      <c r="G381" s="15">
        <v>1020215</v>
      </c>
      <c r="H381" s="15">
        <v>1821254</v>
      </c>
      <c r="I381" s="15">
        <v>0</v>
      </c>
      <c r="J381" s="22"/>
      <c r="K381" s="15"/>
      <c r="L381" s="22"/>
      <c r="M381" s="22"/>
      <c r="N381" s="22"/>
      <c r="O381" s="17">
        <f>SUM(J381:N381)</f>
        <v>0</v>
      </c>
      <c r="P381" s="17"/>
      <c r="Q381" s="95"/>
      <c r="R381" s="17"/>
      <c r="S381" s="17"/>
      <c r="T381" s="17">
        <v>0</v>
      </c>
      <c r="U381" s="73">
        <f>T381-H381</f>
        <v>-1821254</v>
      </c>
    </row>
    <row r="382" spans="1:26" hidden="1">
      <c r="A382" s="119">
        <v>6812</v>
      </c>
      <c r="D382" s="1" t="s">
        <v>418</v>
      </c>
      <c r="I382" s="1">
        <v>777519</v>
      </c>
      <c r="J382" s="15">
        <v>1413969</v>
      </c>
      <c r="K382" s="15"/>
      <c r="L382" s="15"/>
      <c r="M382" s="15"/>
      <c r="N382" s="15"/>
      <c r="O382" s="17">
        <f>SUM(J382:N382)</f>
        <v>1413969</v>
      </c>
      <c r="Q382" s="96" t="s">
        <v>79</v>
      </c>
      <c r="R382" s="1">
        <f>181985.47+88966+96662.82</f>
        <v>367614.29</v>
      </c>
      <c r="T382" s="17">
        <v>1046354.71</v>
      </c>
      <c r="U382" s="73">
        <f>T382-I382</f>
        <v>268835.70999999996</v>
      </c>
      <c r="Y382" s="76">
        <f t="shared" si="39"/>
        <v>0.34576095246547023</v>
      </c>
    </row>
    <row r="383" spans="1:26" hidden="1">
      <c r="A383" s="119">
        <v>6815</v>
      </c>
      <c r="D383" s="1" t="s">
        <v>419</v>
      </c>
      <c r="I383" s="1">
        <v>82675</v>
      </c>
      <c r="J383" s="15">
        <v>86652</v>
      </c>
      <c r="K383" s="15"/>
      <c r="L383" s="15"/>
      <c r="M383" s="15"/>
      <c r="N383" s="15"/>
      <c r="O383" s="17">
        <f>SUM(J383:N383)</f>
        <v>86652</v>
      </c>
      <c r="Q383" s="96"/>
      <c r="T383" s="17">
        <v>86652</v>
      </c>
      <c r="U383" s="73">
        <f>T383-I383</f>
        <v>3977</v>
      </c>
      <c r="Y383" s="76">
        <f t="shared" si="39"/>
        <v>4.8104021771998788E-2</v>
      </c>
    </row>
    <row r="384" spans="1:26" hidden="1">
      <c r="A384" s="119">
        <v>6820</v>
      </c>
      <c r="D384" s="1" t="s">
        <v>420</v>
      </c>
      <c r="I384" s="1">
        <v>1730829</v>
      </c>
      <c r="J384" s="15">
        <v>798909</v>
      </c>
      <c r="K384" s="15"/>
      <c r="L384" s="15"/>
      <c r="M384" s="15"/>
      <c r="N384" s="15"/>
      <c r="O384" s="17">
        <f>SUM(J384:N384)</f>
        <v>798909</v>
      </c>
      <c r="P384" s="1">
        <f>10581.22</f>
        <v>10581.22</v>
      </c>
      <c r="Q384" s="96" t="s">
        <v>74</v>
      </c>
      <c r="R384" s="1">
        <f>14127</f>
        <v>14127</v>
      </c>
      <c r="T384" s="17">
        <v>795363.22</v>
      </c>
      <c r="U384" s="73">
        <f>T384-I384</f>
        <v>-935465.78</v>
      </c>
      <c r="Y384" s="76">
        <f t="shared" si="39"/>
        <v>-0.5404726752325042</v>
      </c>
    </row>
    <row r="385" spans="1:32" hidden="1">
      <c r="C385" s="8" t="s">
        <v>421</v>
      </c>
      <c r="G385" s="35">
        <f>+SUM(G381:G384)</f>
        <v>1020215</v>
      </c>
      <c r="H385" s="35">
        <f t="shared" ref="H385:R385" si="41">+SUM(H381:H384)</f>
        <v>1821254</v>
      </c>
      <c r="I385" s="35">
        <v>2591023</v>
      </c>
      <c r="J385" s="35">
        <f>+SUM(J381:J384)</f>
        <v>2299530</v>
      </c>
      <c r="K385" s="35">
        <f t="shared" si="41"/>
        <v>0</v>
      </c>
      <c r="L385" s="35">
        <f t="shared" si="41"/>
        <v>0</v>
      </c>
      <c r="M385" s="35">
        <f t="shared" si="41"/>
        <v>0</v>
      </c>
      <c r="N385" s="35">
        <f t="shared" si="41"/>
        <v>0</v>
      </c>
      <c r="O385" s="35">
        <f>+SUM(O381:O384)</f>
        <v>2299530</v>
      </c>
      <c r="P385" s="35">
        <f t="shared" si="41"/>
        <v>10581.22</v>
      </c>
      <c r="Q385" s="95"/>
      <c r="R385" s="35">
        <f t="shared" si="41"/>
        <v>381741.29</v>
      </c>
      <c r="S385" s="35"/>
      <c r="T385" s="21">
        <v>1928369.93</v>
      </c>
      <c r="U385" s="73">
        <f>T385-I385</f>
        <v>-662653.07000000007</v>
      </c>
      <c r="Y385" s="76">
        <f t="shared" si="39"/>
        <v>-0.25574959002679637</v>
      </c>
    </row>
    <row r="386" spans="1:32" hidden="1">
      <c r="C386" s="8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95"/>
      <c r="R386" s="39"/>
      <c r="S386" s="39"/>
      <c r="T386" s="21"/>
    </row>
    <row r="387" spans="1:32" s="58" customFormat="1" hidden="1">
      <c r="A387" s="116"/>
      <c r="D387" s="57"/>
      <c r="F387" s="67" t="s">
        <v>422</v>
      </c>
      <c r="G387" s="24">
        <f>+G183+G184+G228+G241+G321+G369+G370+G375+G380+G385</f>
        <v>198544444</v>
      </c>
      <c r="H387" s="24">
        <f>+H183+H184+H228+H241+H321+H369+H370+H375+H380+H385</f>
        <v>218233175</v>
      </c>
      <c r="I387" s="24">
        <v>229714443.44999999</v>
      </c>
      <c r="J387" s="24">
        <f t="shared" ref="J387:P387" si="42">+J183+J184+J228+J241+J321+J369+J370+J375+J380+J385</f>
        <v>246146546</v>
      </c>
      <c r="K387" s="24">
        <f t="shared" si="42"/>
        <v>0</v>
      </c>
      <c r="L387" s="24">
        <f t="shared" si="42"/>
        <v>96416</v>
      </c>
      <c r="M387" s="24">
        <f t="shared" si="42"/>
        <v>0</v>
      </c>
      <c r="N387" s="24">
        <f t="shared" si="42"/>
        <v>1768</v>
      </c>
      <c r="O387" s="24">
        <f t="shared" si="42"/>
        <v>246244730</v>
      </c>
      <c r="P387" s="24">
        <f t="shared" si="42"/>
        <v>69552.990000000005</v>
      </c>
      <c r="Q387" s="95"/>
      <c r="R387" s="24">
        <f>+R183+R184+R228+R241+R321+R369+R370+R375+R380+R385</f>
        <v>10794606.409999998</v>
      </c>
      <c r="S387" s="24"/>
      <c r="T387" s="21">
        <v>235519676.58000004</v>
      </c>
      <c r="U387" s="110">
        <f>T387-I387</f>
        <v>5805233.1300000548</v>
      </c>
      <c r="V387" s="58">
        <f>U387/H387</f>
        <v>2.6601057011611799E-2</v>
      </c>
      <c r="Y387" s="80">
        <f t="shared" si="39"/>
        <v>2.5271519904509755E-2</v>
      </c>
      <c r="Z387" s="93"/>
      <c r="AA387" s="115"/>
      <c r="AB387" s="115"/>
      <c r="AC387" s="115"/>
      <c r="AD387" s="115"/>
      <c r="AE387" s="115"/>
      <c r="AF387" s="115"/>
    </row>
    <row r="388" spans="1:32" hidden="1">
      <c r="A388" s="117"/>
      <c r="B388" s="16"/>
      <c r="C388" s="16"/>
      <c r="D388" s="16"/>
      <c r="E388" s="16"/>
      <c r="F388" s="16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95"/>
      <c r="R388" s="17"/>
      <c r="S388" s="17"/>
      <c r="T388" s="17"/>
    </row>
    <row r="389" spans="1:32" hidden="1">
      <c r="A389" s="117"/>
      <c r="B389" s="54" t="s">
        <v>110</v>
      </c>
      <c r="C389" s="16"/>
      <c r="D389" s="16"/>
      <c r="F389" s="4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95"/>
      <c r="R389" s="17"/>
      <c r="S389" s="17"/>
      <c r="T389" s="17"/>
    </row>
    <row r="390" spans="1:32" hidden="1">
      <c r="A390" s="117"/>
      <c r="B390" s="4" t="s">
        <v>423</v>
      </c>
      <c r="D390" s="16"/>
      <c r="F390" s="16"/>
      <c r="G390" s="17"/>
      <c r="H390" s="45"/>
      <c r="I390" s="45"/>
      <c r="J390" s="17"/>
      <c r="K390" s="17"/>
      <c r="L390" s="45"/>
      <c r="M390" s="45"/>
      <c r="N390" s="45"/>
      <c r="O390" s="17"/>
      <c r="P390" s="45"/>
      <c r="Q390" s="95"/>
      <c r="R390" s="45"/>
      <c r="S390" s="17"/>
      <c r="T390" s="17"/>
    </row>
    <row r="391" spans="1:32" hidden="1">
      <c r="A391" s="117">
        <v>1521</v>
      </c>
      <c r="B391" s="16"/>
      <c r="C391" s="16"/>
      <c r="D391" s="16" t="s">
        <v>143</v>
      </c>
      <c r="F391" s="16"/>
      <c r="G391" s="15">
        <v>18003</v>
      </c>
      <c r="H391" s="15">
        <v>56685.53</v>
      </c>
      <c r="I391" s="15">
        <v>601.37</v>
      </c>
      <c r="J391" s="15">
        <v>13108</v>
      </c>
      <c r="K391" s="15"/>
      <c r="L391" s="15"/>
      <c r="M391" s="15"/>
      <c r="N391" s="15"/>
      <c r="O391" s="15">
        <f>SUM(J391:N391)</f>
        <v>13108</v>
      </c>
      <c r="P391" s="15">
        <f>1340.82+128.61</f>
        <v>1469.4299999999998</v>
      </c>
      <c r="Q391" s="95" t="s">
        <v>71</v>
      </c>
      <c r="R391" s="15">
        <v>0</v>
      </c>
      <c r="S391" s="15"/>
      <c r="T391" s="17">
        <v>11638.57</v>
      </c>
      <c r="U391" s="73">
        <f t="shared" ref="U391:U396" si="43">T391-I391</f>
        <v>11037.199999999999</v>
      </c>
      <c r="Y391" s="76">
        <f t="shared" si="39"/>
        <v>18.353426343183063</v>
      </c>
    </row>
    <row r="392" spans="1:32" hidden="1">
      <c r="A392" s="123">
        <v>1526</v>
      </c>
      <c r="B392" s="16"/>
      <c r="C392" s="16"/>
      <c r="D392" s="16" t="s">
        <v>484</v>
      </c>
      <c r="F392" s="16"/>
      <c r="G392" s="15"/>
      <c r="H392" s="15"/>
      <c r="I392" s="15">
        <v>5977</v>
      </c>
      <c r="J392" s="15">
        <v>0</v>
      </c>
      <c r="K392" s="15"/>
      <c r="L392" s="15">
        <v>-3241</v>
      </c>
      <c r="M392" s="15">
        <v>-22176</v>
      </c>
      <c r="N392" s="15">
        <v>-60</v>
      </c>
      <c r="O392" s="15">
        <f>SUM(J392:N392)</f>
        <v>-25477</v>
      </c>
      <c r="P392" s="15">
        <f>29151.19+21308.23+2043.82</f>
        <v>52503.24</v>
      </c>
      <c r="Q392" s="95" t="s">
        <v>321</v>
      </c>
      <c r="R392" s="15">
        <f>4082+27981+165</f>
        <v>32228</v>
      </c>
      <c r="S392" s="15"/>
      <c r="T392" s="17">
        <v>-45752.24</v>
      </c>
      <c r="U392" s="73">
        <f t="shared" si="43"/>
        <v>-51729.24</v>
      </c>
      <c r="Y392" s="76">
        <f t="shared" si="39"/>
        <v>-8.6547164129161782</v>
      </c>
    </row>
    <row r="393" spans="1:32" hidden="1">
      <c r="A393" s="118" t="s">
        <v>432</v>
      </c>
      <c r="B393" s="16"/>
      <c r="C393" s="16"/>
      <c r="D393" s="16" t="s">
        <v>429</v>
      </c>
      <c r="F393" s="16"/>
      <c r="G393" s="15"/>
      <c r="H393" s="15"/>
      <c r="I393" s="15">
        <v>32357</v>
      </c>
      <c r="J393" s="15">
        <v>0</v>
      </c>
      <c r="K393" s="15"/>
      <c r="L393" s="15">
        <v>0</v>
      </c>
      <c r="M393" s="15">
        <v>0</v>
      </c>
      <c r="N393" s="15">
        <v>0</v>
      </c>
      <c r="O393" s="15">
        <f>SUM(J393:N393)</f>
        <v>0</v>
      </c>
      <c r="P393" s="15"/>
      <c r="Q393" s="95"/>
      <c r="R393" s="15">
        <v>0</v>
      </c>
      <c r="S393" s="15"/>
      <c r="T393" s="17">
        <v>0</v>
      </c>
      <c r="U393" s="73">
        <f t="shared" si="43"/>
        <v>-32357</v>
      </c>
      <c r="W393" s="22"/>
      <c r="Y393" s="76">
        <f t="shared" si="39"/>
        <v>-1</v>
      </c>
    </row>
    <row r="394" spans="1:32" hidden="1">
      <c r="A394" s="118" t="s">
        <v>431</v>
      </c>
      <c r="B394" s="16"/>
      <c r="C394" s="16"/>
      <c r="D394" s="16" t="s">
        <v>430</v>
      </c>
      <c r="F394" s="16"/>
      <c r="G394" s="25"/>
      <c r="H394" s="25"/>
      <c r="I394" s="25">
        <v>49216888</v>
      </c>
      <c r="J394" s="15">
        <v>0</v>
      </c>
      <c r="K394" s="15"/>
      <c r="L394" s="15"/>
      <c r="M394" s="15"/>
      <c r="N394" s="15"/>
      <c r="O394" s="15">
        <f>SUM(J394:N394)</f>
        <v>0</v>
      </c>
      <c r="P394" s="15"/>
      <c r="Q394" s="95"/>
      <c r="R394" s="15"/>
      <c r="S394" s="15"/>
      <c r="T394" s="17">
        <v>0</v>
      </c>
      <c r="U394" s="73">
        <f t="shared" si="43"/>
        <v>-49216888</v>
      </c>
      <c r="Y394" s="76">
        <f t="shared" si="39"/>
        <v>-1</v>
      </c>
    </row>
    <row r="395" spans="1:32" hidden="1">
      <c r="A395" s="118" t="s">
        <v>433</v>
      </c>
      <c r="B395" s="16"/>
      <c r="C395" s="16"/>
      <c r="D395" s="16" t="s">
        <v>430</v>
      </c>
      <c r="F395" s="16"/>
      <c r="G395" s="25"/>
      <c r="H395" s="28"/>
      <c r="I395" s="28">
        <v>-49216888</v>
      </c>
      <c r="J395" s="15">
        <v>0</v>
      </c>
      <c r="K395" s="15"/>
      <c r="L395" s="15"/>
      <c r="M395" s="15"/>
      <c r="N395" s="15"/>
      <c r="O395" s="15">
        <f>SUM(J395:N395)</f>
        <v>0</v>
      </c>
      <c r="P395" s="15"/>
      <c r="Q395" s="95"/>
      <c r="R395" s="15"/>
      <c r="S395" s="15"/>
      <c r="T395" s="17">
        <v>0</v>
      </c>
      <c r="U395" s="73">
        <f t="shared" si="43"/>
        <v>49216888</v>
      </c>
      <c r="Y395" s="76">
        <f t="shared" si="39"/>
        <v>-1</v>
      </c>
    </row>
    <row r="396" spans="1:32" hidden="1">
      <c r="A396" s="117"/>
      <c r="B396" s="16"/>
      <c r="C396" s="4" t="s">
        <v>434</v>
      </c>
      <c r="D396" s="16"/>
      <c r="F396" s="16"/>
      <c r="G396" s="37">
        <f t="shared" ref="G396:O396" si="44">+SUM(G391:G395)</f>
        <v>18003</v>
      </c>
      <c r="H396" s="49">
        <f t="shared" si="44"/>
        <v>56685.53</v>
      </c>
      <c r="I396" s="49">
        <v>38935.369999997318</v>
      </c>
      <c r="J396" s="35">
        <f t="shared" si="44"/>
        <v>13108</v>
      </c>
      <c r="K396" s="35">
        <f t="shared" si="44"/>
        <v>0</v>
      </c>
      <c r="L396" s="35">
        <f t="shared" si="44"/>
        <v>-3241</v>
      </c>
      <c r="M396" s="35">
        <f t="shared" si="44"/>
        <v>-22176</v>
      </c>
      <c r="N396" s="35">
        <f t="shared" si="44"/>
        <v>-60</v>
      </c>
      <c r="O396" s="35">
        <f t="shared" si="44"/>
        <v>-12369</v>
      </c>
      <c r="P396" s="35">
        <f>+SUM(P391:P395)</f>
        <v>53972.67</v>
      </c>
      <c r="Q396" s="95"/>
      <c r="R396" s="35">
        <f>+SUM(R391:R395)</f>
        <v>32228</v>
      </c>
      <c r="S396" s="35"/>
      <c r="T396" s="21">
        <v>-34113.67</v>
      </c>
      <c r="U396" s="73">
        <f t="shared" si="43"/>
        <v>-73049.039999997316</v>
      </c>
      <c r="Y396" s="76">
        <f t="shared" si="39"/>
        <v>-1.8761614439519221</v>
      </c>
    </row>
    <row r="397" spans="1:32" hidden="1">
      <c r="A397" s="117"/>
      <c r="B397" s="4" t="s">
        <v>424</v>
      </c>
      <c r="D397" s="16"/>
      <c r="F397" s="16"/>
      <c r="G397" s="25">
        <v>-5306</v>
      </c>
      <c r="H397" s="28"/>
      <c r="I397" s="28">
        <v>0</v>
      </c>
      <c r="J397" s="15"/>
      <c r="K397" s="15"/>
      <c r="L397" s="15"/>
      <c r="M397" s="15"/>
      <c r="N397" s="15"/>
      <c r="O397" s="17">
        <f>SUM(J397:N397)</f>
        <v>0</v>
      </c>
      <c r="P397" s="15"/>
      <c r="Q397" s="95"/>
      <c r="R397" s="15"/>
      <c r="S397" s="15"/>
      <c r="T397" s="17">
        <v>0</v>
      </c>
    </row>
    <row r="398" spans="1:32" hidden="1">
      <c r="A398" s="117">
        <v>6332</v>
      </c>
      <c r="B398" s="16"/>
      <c r="D398" s="16" t="s">
        <v>435</v>
      </c>
      <c r="F398" s="16"/>
      <c r="G398" s="25"/>
      <c r="H398" s="28"/>
      <c r="I398" s="28">
        <v>-8032</v>
      </c>
      <c r="J398" s="15">
        <v>-2843</v>
      </c>
      <c r="K398" s="15"/>
      <c r="L398" s="15"/>
      <c r="M398" s="15"/>
      <c r="N398" s="15"/>
      <c r="O398" s="17">
        <f>SUM(J398:N398)</f>
        <v>-2843</v>
      </c>
      <c r="P398" s="15"/>
      <c r="Q398" s="95"/>
      <c r="R398" s="15"/>
      <c r="S398" s="15"/>
      <c r="T398" s="17">
        <v>-2843</v>
      </c>
      <c r="U398" s="73">
        <f>T398-I398</f>
        <v>5189</v>
      </c>
      <c r="Y398" s="76">
        <f t="shared" si="39"/>
        <v>-0.64604083665338641</v>
      </c>
    </row>
    <row r="399" spans="1:32" hidden="1">
      <c r="A399" s="117">
        <v>6333</v>
      </c>
      <c r="B399" s="16"/>
      <c r="D399" s="16" t="s">
        <v>436</v>
      </c>
      <c r="F399" s="16"/>
      <c r="G399" s="25"/>
      <c r="H399" s="28"/>
      <c r="I399" s="28">
        <v>752</v>
      </c>
      <c r="J399" s="15">
        <v>-6906</v>
      </c>
      <c r="K399" s="15"/>
      <c r="L399" s="15"/>
      <c r="M399" s="15"/>
      <c r="N399" s="15"/>
      <c r="O399" s="17">
        <f>SUM(J399:N399)</f>
        <v>-6906</v>
      </c>
      <c r="P399" s="15"/>
      <c r="Q399" s="95"/>
      <c r="R399" s="15"/>
      <c r="S399" s="15"/>
      <c r="T399" s="17">
        <v>-6906</v>
      </c>
      <c r="U399" s="73">
        <f>T399-I399</f>
        <v>-7658</v>
      </c>
      <c r="Y399" s="76">
        <f t="shared" si="39"/>
        <v>-10.183510638297872</v>
      </c>
    </row>
    <row r="400" spans="1:32" hidden="1">
      <c r="A400" s="117"/>
      <c r="B400" s="16"/>
      <c r="C400" s="4" t="s">
        <v>437</v>
      </c>
      <c r="D400" s="16"/>
      <c r="F400" s="16"/>
      <c r="G400" s="37">
        <f t="shared" ref="G400:O400" si="45">+SUM(G397:G399)</f>
        <v>-5306</v>
      </c>
      <c r="H400" s="49">
        <f t="shared" si="45"/>
        <v>0</v>
      </c>
      <c r="I400" s="49">
        <v>-7280</v>
      </c>
      <c r="J400" s="35">
        <f t="shared" si="45"/>
        <v>-9749</v>
      </c>
      <c r="K400" s="35">
        <f t="shared" si="45"/>
        <v>0</v>
      </c>
      <c r="L400" s="35">
        <f t="shared" si="45"/>
        <v>0</v>
      </c>
      <c r="M400" s="35">
        <f t="shared" si="45"/>
        <v>0</v>
      </c>
      <c r="N400" s="35">
        <f t="shared" si="45"/>
        <v>0</v>
      </c>
      <c r="O400" s="35">
        <f t="shared" si="45"/>
        <v>-9749</v>
      </c>
      <c r="P400" s="35">
        <f>+SUM(P397:P399)</f>
        <v>0</v>
      </c>
      <c r="Q400" s="95"/>
      <c r="R400" s="35">
        <f>+SUM(R397:R399)</f>
        <v>0</v>
      </c>
      <c r="S400" s="35"/>
      <c r="T400" s="21">
        <v>-9749</v>
      </c>
      <c r="U400" s="73">
        <f>T400-I400</f>
        <v>-2469</v>
      </c>
      <c r="Y400" s="76">
        <f t="shared" si="39"/>
        <v>0.33914835164835166</v>
      </c>
    </row>
    <row r="401" spans="1:32" hidden="1">
      <c r="A401" s="117">
        <v>2761</v>
      </c>
      <c r="B401" s="4" t="s">
        <v>425</v>
      </c>
      <c r="D401" s="16"/>
      <c r="F401" s="16"/>
      <c r="G401" s="37">
        <v>-144600</v>
      </c>
      <c r="H401" s="49">
        <v>-98088</v>
      </c>
      <c r="I401" s="49">
        <v>-498762</v>
      </c>
      <c r="J401" s="35">
        <v>0</v>
      </c>
      <c r="K401" s="35"/>
      <c r="L401" s="35">
        <v>0</v>
      </c>
      <c r="M401" s="35">
        <v>0</v>
      </c>
      <c r="N401" s="35">
        <v>0</v>
      </c>
      <c r="O401" s="35">
        <f>SUM(J401:N401)</f>
        <v>0</v>
      </c>
      <c r="P401" s="35">
        <v>103093</v>
      </c>
      <c r="Q401" s="95" t="s">
        <v>73</v>
      </c>
      <c r="R401" s="35"/>
      <c r="S401" s="35"/>
      <c r="T401" s="21">
        <v>-103093</v>
      </c>
      <c r="U401" s="73">
        <f>T401-I401</f>
        <v>395669</v>
      </c>
      <c r="Y401" s="76">
        <f t="shared" si="39"/>
        <v>-0.79330221628752795</v>
      </c>
    </row>
    <row r="402" spans="1:32" hidden="1">
      <c r="A402" s="117"/>
      <c r="B402" s="4" t="s">
        <v>119</v>
      </c>
      <c r="D402" s="16"/>
      <c r="F402" s="16"/>
      <c r="G402" s="46"/>
      <c r="H402" s="47"/>
      <c r="I402" s="47"/>
      <c r="J402" s="17"/>
      <c r="K402" s="17"/>
      <c r="L402" s="17"/>
      <c r="M402" s="17"/>
      <c r="N402" s="17"/>
      <c r="O402" s="17"/>
      <c r="P402" s="17"/>
      <c r="Q402" s="95"/>
      <c r="R402" s="17"/>
      <c r="S402" s="17"/>
      <c r="T402" s="17"/>
    </row>
    <row r="403" spans="1:32" ht="32" hidden="1">
      <c r="A403" s="117">
        <v>1993</v>
      </c>
      <c r="B403" s="16"/>
      <c r="C403" s="16"/>
      <c r="D403" s="16" t="s">
        <v>443</v>
      </c>
      <c r="F403" s="16"/>
      <c r="G403" s="25">
        <v>14295345</v>
      </c>
      <c r="H403" s="28">
        <v>200000</v>
      </c>
      <c r="I403" s="28">
        <v>0</v>
      </c>
      <c r="J403" s="15"/>
      <c r="K403" s="15"/>
      <c r="L403" s="15"/>
      <c r="M403" s="15"/>
      <c r="N403" s="15"/>
      <c r="O403" s="17">
        <f>SUM(J403:N403)</f>
        <v>0</v>
      </c>
      <c r="P403" s="15"/>
      <c r="Q403" s="95"/>
      <c r="R403" s="15"/>
      <c r="S403" s="15"/>
      <c r="T403" s="17">
        <v>0</v>
      </c>
      <c r="U403" s="73">
        <f>T403-I403</f>
        <v>0</v>
      </c>
      <c r="Z403" s="88" t="s">
        <v>9</v>
      </c>
    </row>
    <row r="404" spans="1:32" s="23" customFormat="1" ht="48" hidden="1">
      <c r="A404" s="117">
        <v>2731</v>
      </c>
      <c r="B404" s="55"/>
      <c r="C404" s="55"/>
      <c r="D404" s="55" t="s">
        <v>444</v>
      </c>
      <c r="F404" s="55"/>
      <c r="G404" s="46">
        <v>44603317</v>
      </c>
      <c r="H404" s="47">
        <v>66086367</v>
      </c>
      <c r="I404" s="47">
        <v>82173771</v>
      </c>
      <c r="J404" s="17">
        <v>62993021</v>
      </c>
      <c r="K404" s="17"/>
      <c r="L404" s="17"/>
      <c r="M404" s="17"/>
      <c r="N404" s="17"/>
      <c r="O404" s="17">
        <f>SUM(J404:N404)</f>
        <v>62993021</v>
      </c>
      <c r="P404" s="29"/>
      <c r="Q404" s="95"/>
      <c r="R404" s="45">
        <v>0</v>
      </c>
      <c r="S404" s="29"/>
      <c r="T404" s="17">
        <v>62993021</v>
      </c>
      <c r="U404" s="74">
        <f>T404-I404</f>
        <v>-19180750</v>
      </c>
      <c r="Y404" s="79">
        <f t="shared" si="39"/>
        <v>-0.23341693786938414</v>
      </c>
      <c r="Z404" s="83" t="s">
        <v>10</v>
      </c>
      <c r="AA404" s="96"/>
      <c r="AB404" s="96"/>
      <c r="AC404" s="96"/>
      <c r="AD404" s="96"/>
      <c r="AE404" s="96"/>
      <c r="AF404" s="96"/>
    </row>
    <row r="405" spans="1:32" s="23" customFormat="1" hidden="1">
      <c r="A405" s="117">
        <v>2546</v>
      </c>
      <c r="B405" s="55"/>
      <c r="C405" s="55"/>
      <c r="D405" s="55" t="s">
        <v>379</v>
      </c>
      <c r="F405" s="55"/>
      <c r="G405" s="46">
        <v>0</v>
      </c>
      <c r="H405" s="47">
        <v>2281715</v>
      </c>
      <c r="I405" s="47">
        <v>17211749</v>
      </c>
      <c r="J405" s="17">
        <v>16683177</v>
      </c>
      <c r="K405" s="17"/>
      <c r="L405" s="17"/>
      <c r="M405" s="17"/>
      <c r="N405" s="17"/>
      <c r="O405" s="17">
        <f>SUM(J405:N405)</f>
        <v>16683177</v>
      </c>
      <c r="P405" s="29">
        <v>724138</v>
      </c>
      <c r="Q405" s="95" t="s">
        <v>57</v>
      </c>
      <c r="R405" s="29"/>
      <c r="S405" s="29"/>
      <c r="T405" s="17">
        <v>15959039</v>
      </c>
      <c r="U405" s="74">
        <f>T405-I405</f>
        <v>-1252710</v>
      </c>
      <c r="Y405" s="79">
        <f t="shared" si="39"/>
        <v>-7.27822605361024E-2</v>
      </c>
      <c r="Z405" s="83"/>
      <c r="AA405" s="96"/>
      <c r="AB405" s="96"/>
      <c r="AC405" s="96"/>
      <c r="AD405" s="96"/>
      <c r="AE405" s="96"/>
      <c r="AF405" s="96"/>
    </row>
    <row r="406" spans="1:32" hidden="1">
      <c r="A406" s="117"/>
      <c r="B406" s="16"/>
      <c r="C406" s="4" t="s">
        <v>445</v>
      </c>
      <c r="D406" s="16"/>
      <c r="F406" s="16"/>
      <c r="G406" s="37">
        <f t="shared" ref="G406:N406" si="46">SUM(G403:G405)</f>
        <v>58898662</v>
      </c>
      <c r="H406" s="37">
        <f t="shared" si="46"/>
        <v>68568082</v>
      </c>
      <c r="I406" s="37">
        <v>99385520</v>
      </c>
      <c r="J406" s="35">
        <f t="shared" si="46"/>
        <v>79676198</v>
      </c>
      <c r="K406" s="35">
        <f t="shared" si="46"/>
        <v>0</v>
      </c>
      <c r="L406" s="35">
        <f t="shared" si="46"/>
        <v>0</v>
      </c>
      <c r="M406" s="35">
        <f t="shared" si="46"/>
        <v>0</v>
      </c>
      <c r="N406" s="35">
        <f t="shared" si="46"/>
        <v>0</v>
      </c>
      <c r="O406" s="35">
        <f>SUM(O403:O405)</f>
        <v>79676198</v>
      </c>
      <c r="P406" s="35">
        <f>SUM(P403:P405)</f>
        <v>724138</v>
      </c>
      <c r="Q406" s="95"/>
      <c r="R406" s="35">
        <f>SUM(R403:R405)</f>
        <v>0</v>
      </c>
      <c r="S406" s="35"/>
      <c r="T406" s="21">
        <v>78952060</v>
      </c>
      <c r="U406" s="73">
        <f>T406-I406</f>
        <v>-20433460</v>
      </c>
      <c r="Y406" s="76">
        <f t="shared" si="39"/>
        <v>-0.20559795833437305</v>
      </c>
    </row>
    <row r="407" spans="1:32" hidden="1">
      <c r="A407" s="117"/>
      <c r="B407" s="4" t="s">
        <v>426</v>
      </c>
      <c r="D407" s="16"/>
      <c r="F407" s="16"/>
      <c r="G407" s="46"/>
      <c r="H407" s="47"/>
      <c r="I407" s="47"/>
      <c r="J407" s="17"/>
      <c r="K407" s="17"/>
      <c r="L407" s="17"/>
      <c r="M407" s="17"/>
      <c r="N407" s="17"/>
      <c r="O407" s="17"/>
      <c r="P407" s="17"/>
      <c r="Q407" s="95"/>
      <c r="R407" s="17"/>
      <c r="S407" s="17"/>
      <c r="T407" s="17"/>
      <c r="U407" s="73">
        <f>T407-H407</f>
        <v>0</v>
      </c>
    </row>
    <row r="408" spans="1:32" hidden="1">
      <c r="A408" s="117">
        <v>1872</v>
      </c>
      <c r="B408" s="16"/>
      <c r="C408" s="16"/>
      <c r="D408" s="16" t="s">
        <v>438</v>
      </c>
      <c r="F408" s="16"/>
      <c r="G408" s="25">
        <v>297064</v>
      </c>
      <c r="H408" s="28">
        <v>540768</v>
      </c>
      <c r="I408" s="28">
        <v>585217</v>
      </c>
      <c r="J408" s="15">
        <v>848482</v>
      </c>
      <c r="K408" s="15"/>
      <c r="L408" s="15"/>
      <c r="M408" s="15"/>
      <c r="N408" s="15"/>
      <c r="O408" s="17">
        <f>SUM(J408:N408)</f>
        <v>848482</v>
      </c>
      <c r="P408" s="15"/>
      <c r="Q408" s="95"/>
      <c r="R408" s="15"/>
      <c r="S408" s="15"/>
      <c r="T408" s="17">
        <v>848482</v>
      </c>
      <c r="U408" s="73">
        <f>T408-I408</f>
        <v>263265</v>
      </c>
      <c r="Y408" s="76">
        <f t="shared" si="39"/>
        <v>0.44985877033647348</v>
      </c>
    </row>
    <row r="409" spans="1:32" ht="32" hidden="1">
      <c r="A409" s="117">
        <v>1873</v>
      </c>
      <c r="B409" s="16"/>
      <c r="C409" s="16"/>
      <c r="D409" s="16" t="s">
        <v>439</v>
      </c>
      <c r="F409" s="16"/>
      <c r="G409" s="25">
        <v>135000</v>
      </c>
      <c r="H409" s="28">
        <v>250000</v>
      </c>
      <c r="I409" s="28">
        <v>950000</v>
      </c>
      <c r="J409" s="15">
        <v>1196734</v>
      </c>
      <c r="K409" s="15"/>
      <c r="L409" s="15"/>
      <c r="M409" s="15"/>
      <c r="N409" s="15"/>
      <c r="O409" s="17">
        <f>SUM(J409:N409)</f>
        <v>1196734</v>
      </c>
      <c r="P409" s="15">
        <f>87864</f>
        <v>87864</v>
      </c>
      <c r="Q409" s="95" t="s">
        <v>0</v>
      </c>
      <c r="R409" s="15"/>
      <c r="S409" s="15"/>
      <c r="T409" s="17">
        <v>1108870</v>
      </c>
      <c r="U409" s="73">
        <f>T409-I409</f>
        <v>158870</v>
      </c>
      <c r="Y409" s="76">
        <f t="shared" si="39"/>
        <v>0.16723157894736843</v>
      </c>
      <c r="Z409" s="83" t="s">
        <v>11</v>
      </c>
    </row>
    <row r="410" spans="1:32" hidden="1">
      <c r="A410" s="117">
        <v>1957</v>
      </c>
      <c r="B410" s="16"/>
      <c r="C410" s="16"/>
      <c r="D410" s="16" t="s">
        <v>440</v>
      </c>
      <c r="F410" s="16"/>
      <c r="G410" s="25">
        <v>1399523</v>
      </c>
      <c r="H410" s="28">
        <v>1441256</v>
      </c>
      <c r="I410" s="28">
        <v>1364718</v>
      </c>
      <c r="J410" s="15">
        <v>1121504</v>
      </c>
      <c r="K410" s="15"/>
      <c r="L410" s="15"/>
      <c r="M410" s="15"/>
      <c r="N410" s="15"/>
      <c r="O410" s="17">
        <f>SUM(J410:N410)</f>
        <v>1121504</v>
      </c>
      <c r="P410" s="15"/>
      <c r="Q410" s="95" t="s">
        <v>1</v>
      </c>
      <c r="R410" s="15">
        <f>436772</f>
        <v>436772</v>
      </c>
      <c r="S410" s="15"/>
      <c r="T410" s="17">
        <v>1558276</v>
      </c>
      <c r="U410" s="73">
        <f>T410-I410</f>
        <v>193558</v>
      </c>
      <c r="Y410" s="76">
        <f t="shared" si="39"/>
        <v>0.14183003375056238</v>
      </c>
    </row>
    <row r="411" spans="1:32" hidden="1">
      <c r="A411" s="117">
        <v>1759</v>
      </c>
      <c r="B411" s="16"/>
      <c r="C411" s="16"/>
      <c r="D411" s="16" t="s">
        <v>441</v>
      </c>
      <c r="F411" s="16"/>
      <c r="G411" s="25">
        <v>52481</v>
      </c>
      <c r="H411" s="28">
        <v>114096</v>
      </c>
      <c r="I411" s="28">
        <v>84872</v>
      </c>
      <c r="J411" s="15">
        <v>0</v>
      </c>
      <c r="K411" s="15"/>
      <c r="L411" s="15"/>
      <c r="M411" s="15"/>
      <c r="N411" s="15"/>
      <c r="O411" s="17">
        <f>SUM(J411:N411)</f>
        <v>0</v>
      </c>
      <c r="P411" s="15"/>
      <c r="Q411" s="95"/>
      <c r="R411" s="19"/>
      <c r="S411" s="19"/>
      <c r="T411" s="17">
        <v>0</v>
      </c>
      <c r="U411" s="73">
        <f>T411-I411</f>
        <v>-84872</v>
      </c>
      <c r="Y411" s="76">
        <f t="shared" si="39"/>
        <v>-1</v>
      </c>
    </row>
    <row r="412" spans="1:32" s="8" customFormat="1" hidden="1">
      <c r="A412" s="116"/>
      <c r="B412" s="4"/>
      <c r="C412" s="4" t="s">
        <v>442</v>
      </c>
      <c r="F412" s="4"/>
      <c r="G412" s="37">
        <f>SUM(G408:G411)</f>
        <v>1884068</v>
      </c>
      <c r="H412" s="49">
        <f>SUM(H408:H411)</f>
        <v>2346120</v>
      </c>
      <c r="I412" s="49">
        <v>2984807</v>
      </c>
      <c r="J412" s="35">
        <f>SUM(J408:J411)</f>
        <v>3166720</v>
      </c>
      <c r="K412" s="35"/>
      <c r="L412" s="35">
        <f>SUM(L408:L411)</f>
        <v>0</v>
      </c>
      <c r="M412" s="35">
        <f>SUM(M408:M411)</f>
        <v>0</v>
      </c>
      <c r="N412" s="35">
        <f>SUM(N408:N411)</f>
        <v>0</v>
      </c>
      <c r="O412" s="35">
        <f>SUM(O408:O411)</f>
        <v>3166720</v>
      </c>
      <c r="P412" s="35">
        <f>SUM(P408:P411)</f>
        <v>87864</v>
      </c>
      <c r="Q412" s="95"/>
      <c r="R412" s="35">
        <f>SUM(R408:R411)</f>
        <v>436772</v>
      </c>
      <c r="S412" s="35"/>
      <c r="T412" s="21">
        <v>3515628</v>
      </c>
      <c r="U412" s="107">
        <f>T412-I412</f>
        <v>530821</v>
      </c>
      <c r="Y412" s="81">
        <f t="shared" si="39"/>
        <v>0.17784097933300211</v>
      </c>
      <c r="Z412" s="90"/>
      <c r="AA412" s="11"/>
      <c r="AB412" s="11"/>
      <c r="AC412" s="11"/>
      <c r="AD412" s="11"/>
      <c r="AE412" s="11"/>
      <c r="AF412" s="11"/>
    </row>
    <row r="413" spans="1:32" hidden="1">
      <c r="B413" s="4" t="s">
        <v>446</v>
      </c>
      <c r="G413" s="68"/>
      <c r="H413" s="69"/>
      <c r="I413" s="69"/>
      <c r="Q413" s="96"/>
      <c r="T413" s="23"/>
      <c r="U413" s="73">
        <f>T413-H413</f>
        <v>0</v>
      </c>
    </row>
    <row r="414" spans="1:32" hidden="1">
      <c r="A414" s="130" t="s">
        <v>83</v>
      </c>
      <c r="D414" s="16" t="s">
        <v>427</v>
      </c>
      <c r="G414" s="40">
        <v>17010</v>
      </c>
      <c r="H414" s="52">
        <v>24191</v>
      </c>
      <c r="I414" s="52">
        <v>17007.990000000002</v>
      </c>
      <c r="J414" s="21">
        <v>-12468</v>
      </c>
      <c r="K414" s="21"/>
      <c r="L414" s="21"/>
      <c r="M414" s="21"/>
      <c r="N414" s="21"/>
      <c r="O414" s="21">
        <f>SUM(J414:N414)</f>
        <v>-12468</v>
      </c>
      <c r="P414" s="21">
        <v>0</v>
      </c>
      <c r="Q414" s="95" t="s">
        <v>323</v>
      </c>
      <c r="R414" s="21">
        <f>12468.15+5922.83+568.1</f>
        <v>18959.079999999998</v>
      </c>
      <c r="S414" s="26"/>
      <c r="T414" s="21">
        <v>6491.08</v>
      </c>
      <c r="U414" s="73">
        <f>T414-I414</f>
        <v>-10516.910000000002</v>
      </c>
      <c r="Y414" s="76">
        <f t="shared" si="39"/>
        <v>-0.61835113967023736</v>
      </c>
    </row>
    <row r="415" spans="1:32" hidden="1">
      <c r="A415" s="118" t="s">
        <v>82</v>
      </c>
      <c r="D415" s="16" t="s">
        <v>428</v>
      </c>
      <c r="F415" s="16"/>
      <c r="G415" s="70">
        <v>-16464</v>
      </c>
      <c r="H415" s="70">
        <v>-23603</v>
      </c>
      <c r="I415" s="70">
        <v>-14602.36</v>
      </c>
      <c r="J415" s="34"/>
      <c r="K415" s="34"/>
      <c r="L415" s="34"/>
      <c r="M415" s="34"/>
      <c r="N415" s="34"/>
      <c r="O415" s="34">
        <f>SUM(J415:N415)</f>
        <v>0</v>
      </c>
      <c r="P415" s="34">
        <f>4582.01+439.49</f>
        <v>5021.5</v>
      </c>
      <c r="Q415" s="97" t="s">
        <v>71</v>
      </c>
      <c r="R415" s="34">
        <v>0</v>
      </c>
      <c r="S415" s="34"/>
      <c r="T415" s="33">
        <v>-5021.5</v>
      </c>
      <c r="U415" s="73">
        <f>T415-I415</f>
        <v>9580.86</v>
      </c>
      <c r="Y415" s="76">
        <f t="shared" si="39"/>
        <v>-0.65611723036550262</v>
      </c>
    </row>
    <row r="416" spans="1:32" s="23" customFormat="1" hidden="1">
      <c r="A416" s="117"/>
      <c r="D416" s="55"/>
      <c r="F416" s="55"/>
      <c r="G416" s="46"/>
      <c r="H416" s="47"/>
      <c r="I416" s="47"/>
      <c r="J416" s="17"/>
      <c r="K416" s="17"/>
      <c r="L416" s="17"/>
      <c r="M416" s="17"/>
      <c r="N416" s="17"/>
      <c r="O416" s="17"/>
      <c r="P416" s="29"/>
      <c r="Q416" s="95"/>
      <c r="R416" s="17"/>
      <c r="S416" s="17"/>
      <c r="T416" s="17"/>
      <c r="U416" s="74">
        <f>T416-I416</f>
        <v>0</v>
      </c>
      <c r="Y416" s="79"/>
      <c r="Z416" s="94"/>
      <c r="AA416" s="96"/>
      <c r="AB416" s="96"/>
      <c r="AC416" s="96"/>
      <c r="AD416" s="96"/>
      <c r="AE416" s="96"/>
      <c r="AF416" s="96"/>
    </row>
    <row r="417" spans="1:32" s="8" customFormat="1" hidden="1">
      <c r="A417" s="116"/>
      <c r="B417" s="4"/>
      <c r="C417" s="4"/>
      <c r="D417" s="4"/>
      <c r="F417" s="41" t="s">
        <v>447</v>
      </c>
      <c r="G417" s="34">
        <f t="shared" ref="G417:P417" si="47">+G396+G400+G401+G412+G406+G414+G415</f>
        <v>60651373</v>
      </c>
      <c r="H417" s="34">
        <f t="shared" si="47"/>
        <v>70873387.530000001</v>
      </c>
      <c r="I417" s="34">
        <v>101905626</v>
      </c>
      <c r="J417" s="34">
        <f t="shared" si="47"/>
        <v>82833809</v>
      </c>
      <c r="K417" s="34">
        <f t="shared" si="47"/>
        <v>0</v>
      </c>
      <c r="L417" s="34">
        <f t="shared" si="47"/>
        <v>-3241</v>
      </c>
      <c r="M417" s="34">
        <f t="shared" si="47"/>
        <v>-22176</v>
      </c>
      <c r="N417" s="34">
        <f t="shared" si="47"/>
        <v>-60</v>
      </c>
      <c r="O417" s="34">
        <f t="shared" si="47"/>
        <v>82808332</v>
      </c>
      <c r="P417" s="34">
        <f t="shared" si="47"/>
        <v>974089.16999999993</v>
      </c>
      <c r="Q417" s="97"/>
      <c r="R417" s="34">
        <f>+R396+R400+R401+R412+R406+R414+R415</f>
        <v>487959.08</v>
      </c>
      <c r="S417" s="34"/>
      <c r="T417" s="33">
        <v>82322201.909999996</v>
      </c>
      <c r="U417" s="107">
        <f>T417-I417</f>
        <v>-19583424.090000004</v>
      </c>
      <c r="Y417" s="81">
        <f t="shared" si="39"/>
        <v>-0.19217215828692327</v>
      </c>
      <c r="Z417" s="90"/>
      <c r="AA417" s="11"/>
      <c r="AB417" s="11"/>
      <c r="AC417" s="11"/>
      <c r="AD417" s="11"/>
      <c r="AE417" s="11"/>
      <c r="AF417" s="11"/>
    </row>
    <row r="418" spans="1:32" hidden="1">
      <c r="A418" s="117"/>
      <c r="B418" s="16"/>
      <c r="C418" s="16"/>
      <c r="D418" s="16"/>
      <c r="E418" s="16"/>
      <c r="F418" s="16"/>
      <c r="G418" s="17"/>
      <c r="H418" s="45"/>
      <c r="I418" s="45"/>
      <c r="J418" s="17"/>
      <c r="K418" s="17"/>
      <c r="L418" s="17"/>
      <c r="M418" s="17"/>
      <c r="N418" s="17"/>
      <c r="O418" s="17"/>
      <c r="P418" s="17"/>
      <c r="Q418" s="95"/>
      <c r="R418" s="17"/>
      <c r="S418" s="17"/>
      <c r="T418" s="17"/>
      <c r="U418" s="73">
        <f>T418-H418</f>
        <v>0</v>
      </c>
    </row>
    <row r="419" spans="1:32" hidden="1">
      <c r="A419" s="117"/>
      <c r="B419" s="54" t="s">
        <v>111</v>
      </c>
      <c r="C419" s="16"/>
      <c r="D419" s="16"/>
      <c r="F419" s="4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95"/>
      <c r="R419" s="17"/>
      <c r="S419" s="17"/>
      <c r="T419" s="17"/>
      <c r="U419" s="73">
        <f>T419-H419</f>
        <v>0</v>
      </c>
    </row>
    <row r="420" spans="1:32" hidden="1">
      <c r="A420" s="117" t="s">
        <v>30</v>
      </c>
      <c r="B420" s="4" t="s">
        <v>31</v>
      </c>
      <c r="C420" s="16"/>
      <c r="D420" s="16"/>
      <c r="F420" s="16"/>
      <c r="G420" s="17">
        <v>5384924</v>
      </c>
      <c r="H420" s="17">
        <v>4853599</v>
      </c>
      <c r="I420" s="17">
        <v>3227004</v>
      </c>
      <c r="J420" s="17">
        <v>4804542</v>
      </c>
      <c r="K420" s="17"/>
      <c r="L420" s="17"/>
      <c r="M420" s="17"/>
      <c r="N420" s="17"/>
      <c r="O420" s="17">
        <f>SUM(J420:N420)</f>
        <v>4804542</v>
      </c>
      <c r="P420" s="17"/>
      <c r="Q420" s="95"/>
      <c r="R420" s="17"/>
      <c r="S420" s="17"/>
      <c r="T420" s="17">
        <v>4804542</v>
      </c>
      <c r="U420" s="73">
        <f>T420-I420</f>
        <v>1577538</v>
      </c>
      <c r="Y420" s="77">
        <f t="shared" si="39"/>
        <v>0.4888552973594083</v>
      </c>
      <c r="Z420" s="89" t="s">
        <v>12</v>
      </c>
    </row>
    <row r="421" spans="1:32" ht="32" hidden="1">
      <c r="A421" s="117">
        <v>1997</v>
      </c>
      <c r="B421" s="4" t="s">
        <v>448</v>
      </c>
      <c r="C421" s="16"/>
      <c r="D421" s="16"/>
      <c r="F421" s="16"/>
      <c r="G421" s="17"/>
      <c r="H421" s="17">
        <v>461249</v>
      </c>
      <c r="I421" s="17">
        <v>1363735.75</v>
      </c>
      <c r="J421" s="17"/>
      <c r="K421" s="17"/>
      <c r="L421" s="17"/>
      <c r="M421" s="17"/>
      <c r="N421" s="17"/>
      <c r="O421" s="17">
        <f>SUM(J421:N421)</f>
        <v>0</v>
      </c>
      <c r="P421" s="17"/>
      <c r="Q421" s="95"/>
      <c r="R421" s="17"/>
      <c r="S421" s="17"/>
      <c r="T421" s="17">
        <v>0</v>
      </c>
      <c r="U421" s="73">
        <f>T421-I421</f>
        <v>-1363735.75</v>
      </c>
      <c r="Y421" s="77">
        <f t="shared" si="39"/>
        <v>-1</v>
      </c>
      <c r="Z421" s="83" t="s">
        <v>13</v>
      </c>
    </row>
    <row r="422" spans="1:32" hidden="1">
      <c r="A422" s="117">
        <v>2652</v>
      </c>
      <c r="B422" s="4"/>
      <c r="C422" s="16"/>
      <c r="D422" s="16"/>
      <c r="F422" s="16"/>
      <c r="G422" s="17"/>
      <c r="H422" s="17"/>
      <c r="I422" s="17">
        <v>0</v>
      </c>
      <c r="J422" s="17"/>
      <c r="K422" s="17"/>
      <c r="L422" s="17"/>
      <c r="M422" s="17"/>
      <c r="N422" s="17"/>
      <c r="O422" s="17">
        <f>SUM(J422:N422)</f>
        <v>0</v>
      </c>
      <c r="P422" s="17"/>
      <c r="Q422" s="95"/>
      <c r="R422" s="17"/>
      <c r="S422" s="17"/>
      <c r="T422" s="17">
        <v>0</v>
      </c>
      <c r="U422" s="73">
        <f>T422-I422</f>
        <v>0</v>
      </c>
      <c r="Y422" s="77"/>
    </row>
    <row r="423" spans="1:32" hidden="1">
      <c r="A423" s="123">
        <v>2742</v>
      </c>
      <c r="B423" s="4" t="s">
        <v>485</v>
      </c>
      <c r="C423" s="16"/>
      <c r="D423" s="16"/>
      <c r="F423" s="16"/>
      <c r="G423" s="17"/>
      <c r="H423" s="17">
        <v>2997200</v>
      </c>
      <c r="I423" s="17">
        <v>658800</v>
      </c>
      <c r="J423" s="17">
        <v>0</v>
      </c>
      <c r="K423" s="17"/>
      <c r="L423" s="17"/>
      <c r="M423" s="17"/>
      <c r="N423" s="17"/>
      <c r="O423" s="17">
        <f>SUM(J423:N423)</f>
        <v>0</v>
      </c>
      <c r="P423" s="17"/>
      <c r="Q423" s="95"/>
      <c r="R423" s="17"/>
      <c r="S423" s="17"/>
      <c r="T423" s="17">
        <v>0</v>
      </c>
      <c r="U423" s="73">
        <f>T423-I423</f>
        <v>-658800</v>
      </c>
      <c r="Y423" s="76">
        <f t="shared" ref="Y423:Y430" si="48">U423/I423</f>
        <v>-1</v>
      </c>
      <c r="Z423" s="89" t="s">
        <v>22</v>
      </c>
    </row>
    <row r="424" spans="1:32" s="8" customFormat="1" hidden="1">
      <c r="A424" s="116"/>
      <c r="B424" s="4"/>
      <c r="C424" s="4"/>
      <c r="D424" s="4"/>
      <c r="F424" s="41" t="s">
        <v>449</v>
      </c>
      <c r="G424" s="35">
        <f>SUM(G420:G422)</f>
        <v>5384924</v>
      </c>
      <c r="H424" s="35">
        <f>SUM(H420:H422)</f>
        <v>5314848</v>
      </c>
      <c r="I424" s="35">
        <v>5249539.75</v>
      </c>
      <c r="J424" s="35">
        <f>SUM(J420:J423)</f>
        <v>4804542</v>
      </c>
      <c r="K424" s="35"/>
      <c r="L424" s="35">
        <f>SUM(L420:L422)</f>
        <v>0</v>
      </c>
      <c r="M424" s="35">
        <f>SUM(M420:M422)</f>
        <v>0</v>
      </c>
      <c r="N424" s="35">
        <f>SUM(N420:N422)</f>
        <v>0</v>
      </c>
      <c r="O424" s="35">
        <f>SUM(O420:O423)</f>
        <v>4804542</v>
      </c>
      <c r="P424" s="35">
        <f>SUM(P420:P422)</f>
        <v>0</v>
      </c>
      <c r="Q424" s="95"/>
      <c r="R424" s="35">
        <f>SUM(R420:R422)</f>
        <v>0</v>
      </c>
      <c r="S424" s="35"/>
      <c r="T424" s="21">
        <v>4804542</v>
      </c>
      <c r="U424" s="107">
        <f>T424-I424</f>
        <v>-444997.75</v>
      </c>
      <c r="Y424" s="81">
        <f t="shared" si="48"/>
        <v>-8.4768907598042287E-2</v>
      </c>
      <c r="Z424" s="90"/>
      <c r="AA424" s="11"/>
      <c r="AB424" s="11"/>
      <c r="AC424" s="11"/>
      <c r="AD424" s="11"/>
      <c r="AE424" s="11"/>
      <c r="AF424" s="11"/>
    </row>
    <row r="425" spans="1:32" hidden="1">
      <c r="A425" s="117"/>
      <c r="B425" s="16"/>
      <c r="C425" s="16"/>
      <c r="D425" s="16"/>
      <c r="E425" s="16"/>
      <c r="F425" s="16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95"/>
      <c r="R425" s="17"/>
      <c r="S425" s="17"/>
      <c r="T425" s="17"/>
      <c r="U425" s="73">
        <f>T425-H425</f>
        <v>0</v>
      </c>
    </row>
    <row r="426" spans="1:32" s="30" customFormat="1" hidden="1">
      <c r="A426" s="126"/>
      <c r="B426" s="44"/>
      <c r="C426" s="44"/>
      <c r="D426" s="44"/>
      <c r="E426" s="44" t="s">
        <v>112</v>
      </c>
      <c r="F426" s="44"/>
      <c r="G426" s="47">
        <f>+G117-G387+G417+G424</f>
        <v>-1105282</v>
      </c>
      <c r="H426" s="47">
        <f>+H117-H387+H417+H424</f>
        <v>8294285.9699999988</v>
      </c>
      <c r="I426" s="47">
        <v>26216252.550000012</v>
      </c>
      <c r="J426" s="47">
        <f>+J117-J387+J417+J424+J54</f>
        <v>14747407</v>
      </c>
      <c r="K426" s="47">
        <f>+K117-K387+K417+K424</f>
        <v>0</v>
      </c>
      <c r="L426" s="47">
        <f>+L117-L387+L417+L424</f>
        <v>-99657</v>
      </c>
      <c r="M426" s="47">
        <f>+M117-M387+M417+M424</f>
        <v>-22176</v>
      </c>
      <c r="N426" s="47">
        <f>+N117-N387+N417+N424</f>
        <v>-1828</v>
      </c>
      <c r="O426" s="47">
        <f>+O117-O387+O417+O424</f>
        <v>14623746</v>
      </c>
      <c r="P426" s="47"/>
      <c r="Q426" s="98"/>
      <c r="R426" s="47">
        <f>+R117-R387+R417+R424</f>
        <v>-4355578.3299999982</v>
      </c>
      <c r="S426" s="47"/>
      <c r="T426" s="47">
        <v>17839193.329999954</v>
      </c>
      <c r="U426" s="82">
        <f>T426-I426</f>
        <v>-8377059.2200000584</v>
      </c>
      <c r="V426" s="66"/>
      <c r="Y426" s="77">
        <f t="shared" si="48"/>
        <v>-0.31953686759857119</v>
      </c>
      <c r="Z426" s="91"/>
      <c r="AA426" s="113"/>
      <c r="AB426" s="113"/>
      <c r="AC426" s="113"/>
      <c r="AD426" s="113"/>
      <c r="AE426" s="113"/>
      <c r="AF426" s="113"/>
    </row>
    <row r="427" spans="1:32" hidden="1">
      <c r="A427" s="117"/>
      <c r="B427" s="16"/>
      <c r="C427" s="16"/>
      <c r="D427" s="16"/>
      <c r="E427" s="16"/>
      <c r="F427" s="1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99"/>
      <c r="R427" s="46"/>
      <c r="S427" s="46"/>
      <c r="T427" s="46"/>
      <c r="U427" s="73">
        <f>T427-I427</f>
        <v>0</v>
      </c>
    </row>
    <row r="428" spans="1:32" hidden="1">
      <c r="A428" s="117"/>
      <c r="B428" s="16"/>
      <c r="C428" s="16"/>
      <c r="D428" s="16"/>
      <c r="E428" s="16" t="s">
        <v>113</v>
      </c>
      <c r="F428" s="16"/>
      <c r="G428" s="71">
        <v>356578</v>
      </c>
      <c r="H428" s="71">
        <v>-748732.37</v>
      </c>
      <c r="I428" s="71">
        <v>10542754</v>
      </c>
      <c r="J428" s="71">
        <f>I430</f>
        <v>36759001</v>
      </c>
      <c r="K428" s="71"/>
      <c r="L428" s="71">
        <v>0</v>
      </c>
      <c r="M428" s="71">
        <v>0</v>
      </c>
      <c r="N428" s="71">
        <v>0</v>
      </c>
      <c r="O428" s="71">
        <f>J428</f>
        <v>36759001</v>
      </c>
      <c r="P428" s="71"/>
      <c r="Q428" s="99"/>
      <c r="R428" s="71">
        <v>0</v>
      </c>
      <c r="S428" s="71"/>
      <c r="T428" s="46">
        <v>36759001</v>
      </c>
      <c r="U428" s="73">
        <f>T428-I428</f>
        <v>26216247</v>
      </c>
      <c r="Y428" s="76">
        <f t="shared" si="48"/>
        <v>2.486660221797834</v>
      </c>
    </row>
    <row r="429" spans="1:32" hidden="1">
      <c r="A429" s="117"/>
      <c r="B429" s="16"/>
      <c r="C429" s="16"/>
      <c r="D429" s="16"/>
      <c r="E429" s="16"/>
      <c r="F429" s="1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99"/>
      <c r="R429" s="46"/>
      <c r="S429" s="46"/>
      <c r="T429" s="46"/>
      <c r="U429" s="73">
        <f>T429-I429</f>
        <v>0</v>
      </c>
    </row>
    <row r="430" spans="1:32" ht="17" hidden="1" thickBot="1">
      <c r="A430" s="117"/>
      <c r="B430" s="16"/>
      <c r="C430" s="16"/>
      <c r="D430" s="16"/>
      <c r="E430" s="16" t="s">
        <v>114</v>
      </c>
      <c r="F430" s="16"/>
      <c r="G430" s="72">
        <f>G426+G428</f>
        <v>-748704</v>
      </c>
      <c r="H430" s="72">
        <v>10542753.720000034</v>
      </c>
      <c r="I430" s="72">
        <v>36759001</v>
      </c>
      <c r="J430" s="72">
        <f>J426+J428</f>
        <v>51506408</v>
      </c>
      <c r="K430" s="72"/>
      <c r="L430" s="72">
        <f>L426+L428</f>
        <v>-99657</v>
      </c>
      <c r="M430" s="72">
        <f>M426+M428</f>
        <v>-22176</v>
      </c>
      <c r="N430" s="72">
        <f>N426+N428</f>
        <v>-1828</v>
      </c>
      <c r="O430" s="72">
        <f>O426+O428</f>
        <v>51382747</v>
      </c>
      <c r="P430" s="72">
        <f>SUM(P426:P428)</f>
        <v>0</v>
      </c>
      <c r="Q430" s="99"/>
      <c r="R430" s="72">
        <f>SUM(R426:R428)</f>
        <v>-4355578.3299999982</v>
      </c>
      <c r="S430" s="72"/>
      <c r="T430" s="46">
        <v>54598194.329999954</v>
      </c>
      <c r="U430" s="73">
        <f>T430-I430</f>
        <v>17839193.329999954</v>
      </c>
      <c r="Y430" s="76">
        <f t="shared" si="48"/>
        <v>0.48530136414751734</v>
      </c>
    </row>
    <row r="431" spans="1:32" hidden="1">
      <c r="A431" s="117"/>
      <c r="B431" s="16"/>
      <c r="C431" s="16"/>
      <c r="D431" s="16"/>
      <c r="E431" s="16"/>
      <c r="F431" s="16"/>
      <c r="G431" s="25"/>
      <c r="H431" s="25"/>
      <c r="I431" s="25"/>
      <c r="J431" s="25"/>
      <c r="K431" s="25"/>
      <c r="L431" s="25" t="s">
        <v>93</v>
      </c>
      <c r="M431" s="25" t="s">
        <v>93</v>
      </c>
      <c r="N431" s="25" t="s">
        <v>93</v>
      </c>
      <c r="O431" s="25"/>
      <c r="P431" s="25"/>
      <c r="Q431" s="99"/>
      <c r="R431" s="25" t="s">
        <v>93</v>
      </c>
      <c r="S431" s="25"/>
      <c r="T431" s="46"/>
      <c r="AC431" s="2">
        <v>14747407</v>
      </c>
    </row>
    <row r="432" spans="1:32" hidden="1">
      <c r="A432" s="117"/>
      <c r="B432" s="16"/>
      <c r="C432" s="16"/>
      <c r="D432" s="16"/>
      <c r="E432" s="16"/>
      <c r="F432" s="16" t="s">
        <v>26</v>
      </c>
      <c r="G432" s="25"/>
      <c r="H432" s="25"/>
      <c r="I432" s="25"/>
      <c r="J432" s="21"/>
      <c r="K432" s="25"/>
      <c r="L432" s="25"/>
      <c r="M432" s="25"/>
      <c r="N432" s="25"/>
      <c r="O432" s="25" t="e">
        <f>O49</f>
        <v>#REF!</v>
      </c>
      <c r="P432" s="25" t="e">
        <f>#REF!+#REF!+#REF!+P72+P74+P76+P77+P79+P80+P87+P116+P183+P228+P241+P321+P369+P370+P375+P380+P385+P396+P400+P401+P406+P412+P414+P415+P424+P42+P43+P44+P45+P75</f>
        <v>#REF!</v>
      </c>
      <c r="Q432" s="100"/>
      <c r="R432" s="25" t="e">
        <f>#REF!+#REF!+#REF!+R72+R74+R76+R77+R79+R80+R87+R116+R183+R228+R241+R321+R369+R370+R375+R380+R385+R396+R400+R401+R406+R412+R414+R415+R424+R42+R43+R44+R45+R184+R75</f>
        <v>#REF!</v>
      </c>
      <c r="S432" s="25"/>
      <c r="T432" s="46"/>
      <c r="AC432" s="134">
        <v>14737721</v>
      </c>
    </row>
    <row r="433" spans="6:29" hidden="1">
      <c r="J433" s="68">
        <f>J430</f>
        <v>51506408</v>
      </c>
      <c r="O433" s="68" t="e">
        <f>O430-O432</f>
        <v>#REF!</v>
      </c>
      <c r="T433" s="75"/>
    </row>
    <row r="434" spans="6:29" hidden="1">
      <c r="J434" s="22" t="e">
        <f>J49</f>
        <v>#REF!</v>
      </c>
      <c r="O434" s="68"/>
      <c r="P434" s="68"/>
      <c r="R434" s="68"/>
      <c r="T434" s="112"/>
      <c r="AC434" s="2">
        <f>AC431-AC432</f>
        <v>9686</v>
      </c>
    </row>
    <row r="435" spans="6:29" hidden="1">
      <c r="J435" s="22" t="e">
        <f>J433-J434</f>
        <v>#REF!</v>
      </c>
      <c r="P435" s="68"/>
      <c r="T435" s="75"/>
    </row>
    <row r="436" spans="6:29" hidden="1">
      <c r="F436" s="1" t="s">
        <v>68</v>
      </c>
      <c r="P436" s="68" t="e">
        <f>#REF!</f>
        <v>#REF!</v>
      </c>
      <c r="R436" s="68" t="e">
        <f>#REF!</f>
        <v>#REF!</v>
      </c>
      <c r="T436" s="23"/>
    </row>
    <row r="437" spans="6:29" hidden="1">
      <c r="T437" s="75"/>
    </row>
    <row r="438" spans="6:29" hidden="1">
      <c r="P438" s="68" t="e">
        <f>P432-P436</f>
        <v>#REF!</v>
      </c>
      <c r="R438" s="68" t="e">
        <f>R432-R436</f>
        <v>#REF!</v>
      </c>
      <c r="T438" s="23"/>
    </row>
    <row r="439" spans="6:29" hidden="1">
      <c r="G439" s="101"/>
      <c r="O439" s="104"/>
      <c r="T439" s="23"/>
    </row>
    <row r="440" spans="6:29" hidden="1">
      <c r="G440" s="102"/>
      <c r="O440" s="105"/>
      <c r="T440" s="23"/>
    </row>
    <row r="441" spans="6:29" ht="17" hidden="1" thickBot="1">
      <c r="G441" s="103"/>
      <c r="O441" s="106"/>
      <c r="T441" s="23"/>
    </row>
    <row r="442" spans="6:29" hidden="1">
      <c r="T442" s="23"/>
    </row>
    <row r="443" spans="6:29" hidden="1">
      <c r="T443" s="23"/>
    </row>
    <row r="444" spans="6:29" hidden="1">
      <c r="T444" s="23"/>
    </row>
    <row r="445" spans="6:29" hidden="1">
      <c r="T445" s="23"/>
    </row>
    <row r="446" spans="6:29" hidden="1">
      <c r="T446" s="23"/>
    </row>
    <row r="447" spans="6:29" hidden="1">
      <c r="T447" s="23"/>
    </row>
    <row r="448" spans="6:29" hidden="1">
      <c r="T448" s="23"/>
    </row>
    <row r="449" spans="20:20" hidden="1">
      <c r="T449" s="23"/>
    </row>
    <row r="450" spans="20:20" hidden="1">
      <c r="T450" s="23"/>
    </row>
    <row r="451" spans="20:20" hidden="1">
      <c r="T451" s="23"/>
    </row>
    <row r="452" spans="20:20" hidden="1">
      <c r="T452" s="23"/>
    </row>
    <row r="453" spans="20:20" hidden="1">
      <c r="T453" s="23"/>
    </row>
    <row r="454" spans="20:20" hidden="1">
      <c r="T454" s="23"/>
    </row>
    <row r="455" spans="20:20" hidden="1">
      <c r="T455" s="23"/>
    </row>
    <row r="456" spans="20:20" hidden="1">
      <c r="T456" s="23"/>
    </row>
    <row r="457" spans="20:20" hidden="1">
      <c r="T457" s="23"/>
    </row>
    <row r="458" spans="20:20" hidden="1">
      <c r="T458" s="23"/>
    </row>
    <row r="459" spans="20:20" hidden="1">
      <c r="T459" s="23"/>
    </row>
    <row r="460" spans="20:20" hidden="1">
      <c r="T460" s="23"/>
    </row>
    <row r="461" spans="20:20" hidden="1">
      <c r="T461" s="23"/>
    </row>
    <row r="462" spans="20:20" hidden="1">
      <c r="T462" s="23"/>
    </row>
    <row r="463" spans="20:20" hidden="1">
      <c r="T463" s="23"/>
    </row>
    <row r="464" spans="20:20" hidden="1">
      <c r="T464" s="23"/>
    </row>
    <row r="465" spans="20:20" hidden="1">
      <c r="T465" s="23"/>
    </row>
    <row r="466" spans="20:20" hidden="1">
      <c r="T466" s="23"/>
    </row>
    <row r="467" spans="20:20" hidden="1">
      <c r="T467" s="23"/>
    </row>
    <row r="468" spans="20:20" hidden="1">
      <c r="T468" s="23"/>
    </row>
    <row r="469" spans="20:20" hidden="1">
      <c r="T469" s="23"/>
    </row>
    <row r="470" spans="20:20" hidden="1">
      <c r="T470" s="23"/>
    </row>
    <row r="471" spans="20:20" hidden="1">
      <c r="T471" s="23"/>
    </row>
    <row r="472" spans="20:20" hidden="1">
      <c r="T472" s="23"/>
    </row>
    <row r="473" spans="20:20" hidden="1">
      <c r="T473" s="23"/>
    </row>
    <row r="474" spans="20:20" hidden="1">
      <c r="T474" s="23"/>
    </row>
    <row r="475" spans="20:20" hidden="1">
      <c r="T475" s="23"/>
    </row>
    <row r="476" spans="20:20" hidden="1">
      <c r="T476" s="23"/>
    </row>
    <row r="477" spans="20:20" hidden="1">
      <c r="T477" s="23"/>
    </row>
    <row r="478" spans="20:20" hidden="1">
      <c r="T478" s="23"/>
    </row>
    <row r="479" spans="20:20" hidden="1">
      <c r="T479" s="23"/>
    </row>
    <row r="480" spans="20:20" hidden="1">
      <c r="T480" s="23"/>
    </row>
    <row r="481" spans="20:20" hidden="1">
      <c r="T481" s="23"/>
    </row>
    <row r="482" spans="20:20" hidden="1">
      <c r="T482" s="23"/>
    </row>
    <row r="483" spans="20:20" hidden="1">
      <c r="T483" s="23"/>
    </row>
    <row r="484" spans="20:20" hidden="1">
      <c r="T484" s="23"/>
    </row>
    <row r="485" spans="20:20" hidden="1">
      <c r="T485" s="23"/>
    </row>
    <row r="486" spans="20:20" hidden="1">
      <c r="T486" s="23"/>
    </row>
    <row r="487" spans="20:20" hidden="1">
      <c r="T487" s="23"/>
    </row>
    <row r="488" spans="20:20" hidden="1">
      <c r="T488" s="23"/>
    </row>
    <row r="489" spans="20:20" hidden="1">
      <c r="T489" s="23"/>
    </row>
    <row r="490" spans="20:20" hidden="1">
      <c r="T490" s="23"/>
    </row>
    <row r="491" spans="20:20" hidden="1">
      <c r="T491" s="23"/>
    </row>
    <row r="492" spans="20:20" hidden="1">
      <c r="T492" s="23"/>
    </row>
    <row r="493" spans="20:20" hidden="1">
      <c r="T493" s="23"/>
    </row>
    <row r="494" spans="20:20" hidden="1">
      <c r="T494" s="23"/>
    </row>
    <row r="495" spans="20:20" hidden="1">
      <c r="T495" s="23"/>
    </row>
    <row r="496" spans="20:20" hidden="1">
      <c r="T496" s="23"/>
    </row>
    <row r="497" spans="20:20" hidden="1">
      <c r="T497" s="23"/>
    </row>
    <row r="498" spans="20:20" hidden="1">
      <c r="T498" s="23"/>
    </row>
    <row r="499" spans="20:20" hidden="1">
      <c r="T499" s="23"/>
    </row>
    <row r="500" spans="20:20" hidden="1">
      <c r="T500" s="23"/>
    </row>
    <row r="501" spans="20:20" hidden="1">
      <c r="T501" s="23"/>
    </row>
    <row r="502" spans="20:20" hidden="1">
      <c r="T502" s="23"/>
    </row>
    <row r="503" spans="20:20" hidden="1">
      <c r="T503" s="23"/>
    </row>
    <row r="504" spans="20:20" hidden="1">
      <c r="T504" s="23"/>
    </row>
    <row r="505" spans="20:20" hidden="1">
      <c r="T505" s="23"/>
    </row>
    <row r="506" spans="20:20" hidden="1">
      <c r="T506" s="23"/>
    </row>
    <row r="507" spans="20:20" hidden="1">
      <c r="T507" s="23"/>
    </row>
    <row r="508" spans="20:20" hidden="1">
      <c r="T508" s="23"/>
    </row>
    <row r="509" spans="20:20" hidden="1">
      <c r="T509" s="23"/>
    </row>
    <row r="510" spans="20:20" hidden="1">
      <c r="T510" s="23"/>
    </row>
    <row r="511" spans="20:20" hidden="1">
      <c r="T511" s="23"/>
    </row>
    <row r="512" spans="20:20" hidden="1">
      <c r="T512" s="23"/>
    </row>
    <row r="513" spans="20:20" hidden="1">
      <c r="T513" s="23"/>
    </row>
    <row r="514" spans="20:20" hidden="1">
      <c r="T514" s="23"/>
    </row>
    <row r="515" spans="20:20" hidden="1">
      <c r="T515" s="23"/>
    </row>
    <row r="516" spans="20:20" hidden="1">
      <c r="T516" s="23"/>
    </row>
    <row r="517" spans="20:20" hidden="1">
      <c r="T517" s="23"/>
    </row>
    <row r="518" spans="20:20" hidden="1">
      <c r="T518" s="23"/>
    </row>
    <row r="519" spans="20:20" hidden="1">
      <c r="T519" s="23"/>
    </row>
    <row r="520" spans="20:20" hidden="1">
      <c r="T520" s="23"/>
    </row>
    <row r="521" spans="20:20" hidden="1">
      <c r="T521" s="23"/>
    </row>
    <row r="522" spans="20:20" hidden="1">
      <c r="T522" s="23"/>
    </row>
    <row r="523" spans="20:20" hidden="1">
      <c r="T523" s="23"/>
    </row>
    <row r="524" spans="20:20" hidden="1">
      <c r="T524" s="23"/>
    </row>
    <row r="525" spans="20:20" hidden="1">
      <c r="T525" s="23"/>
    </row>
    <row r="526" spans="20:20" hidden="1">
      <c r="T526" s="23"/>
    </row>
    <row r="527" spans="20:20" hidden="1">
      <c r="T527" s="23"/>
    </row>
    <row r="528" spans="20:20" hidden="1">
      <c r="T528" s="23"/>
    </row>
    <row r="529" spans="20:20" hidden="1">
      <c r="T529" s="23"/>
    </row>
    <row r="530" spans="20:20" hidden="1">
      <c r="T530" s="23"/>
    </row>
    <row r="531" spans="20:20" hidden="1">
      <c r="T531" s="23"/>
    </row>
    <row r="532" spans="20:20" hidden="1">
      <c r="T532" s="23"/>
    </row>
    <row r="533" spans="20:20" hidden="1">
      <c r="T533" s="23"/>
    </row>
    <row r="534" spans="20:20" hidden="1">
      <c r="T534" s="23"/>
    </row>
    <row r="535" spans="20:20" hidden="1">
      <c r="T535" s="23"/>
    </row>
    <row r="536" spans="20:20" hidden="1">
      <c r="T536" s="23"/>
    </row>
    <row r="537" spans="20:20" hidden="1">
      <c r="T537" s="23"/>
    </row>
    <row r="538" spans="20:20" hidden="1">
      <c r="T538" s="23"/>
    </row>
    <row r="539" spans="20:20" hidden="1">
      <c r="T539" s="23"/>
    </row>
    <row r="540" spans="20:20" hidden="1">
      <c r="T540" s="23"/>
    </row>
    <row r="541" spans="20:20" hidden="1">
      <c r="T541" s="23"/>
    </row>
    <row r="542" spans="20:20" hidden="1">
      <c r="T542" s="23"/>
    </row>
    <row r="543" spans="20:20" hidden="1">
      <c r="T543" s="23"/>
    </row>
    <row r="544" spans="20:20" hidden="1">
      <c r="T544" s="23"/>
    </row>
    <row r="545" spans="20:20" hidden="1">
      <c r="T545" s="23"/>
    </row>
    <row r="546" spans="20:20" hidden="1">
      <c r="T546" s="23"/>
    </row>
    <row r="547" spans="20:20" hidden="1">
      <c r="T547" s="23"/>
    </row>
    <row r="548" spans="20:20" hidden="1">
      <c r="T548" s="23"/>
    </row>
    <row r="549" spans="20:20" hidden="1">
      <c r="T549" s="23"/>
    </row>
    <row r="550" spans="20:20" hidden="1">
      <c r="T550" s="23"/>
    </row>
    <row r="551" spans="20:20" hidden="1">
      <c r="T551" s="23"/>
    </row>
    <row r="552" spans="20:20" hidden="1">
      <c r="T552" s="23"/>
    </row>
    <row r="553" spans="20:20" hidden="1">
      <c r="T553" s="23"/>
    </row>
    <row r="554" spans="20:20" hidden="1">
      <c r="T554" s="23"/>
    </row>
    <row r="555" spans="20:20" hidden="1">
      <c r="T555" s="23"/>
    </row>
    <row r="556" spans="20:20" hidden="1">
      <c r="T556" s="23"/>
    </row>
    <row r="557" spans="20:20" hidden="1">
      <c r="T557" s="23"/>
    </row>
    <row r="558" spans="20:20" hidden="1">
      <c r="T558" s="23"/>
    </row>
    <row r="559" spans="20:20" hidden="1">
      <c r="T559" s="23"/>
    </row>
    <row r="560" spans="20:20" hidden="1">
      <c r="T560" s="23"/>
    </row>
    <row r="561" spans="20:20" hidden="1">
      <c r="T561" s="23"/>
    </row>
    <row r="562" spans="20:20" hidden="1">
      <c r="T562" s="23"/>
    </row>
    <row r="563" spans="20:20" hidden="1">
      <c r="T563" s="23"/>
    </row>
    <row r="564" spans="20:20" hidden="1">
      <c r="T564" s="23"/>
    </row>
    <row r="565" spans="20:20" hidden="1">
      <c r="T565" s="23"/>
    </row>
    <row r="566" spans="20:20" hidden="1">
      <c r="T566" s="23"/>
    </row>
    <row r="567" spans="20:20" hidden="1">
      <c r="T567" s="23"/>
    </row>
    <row r="568" spans="20:20" hidden="1">
      <c r="T568" s="23"/>
    </row>
    <row r="569" spans="20:20" hidden="1">
      <c r="T569" s="23"/>
    </row>
    <row r="570" spans="20:20" hidden="1">
      <c r="T570" s="23"/>
    </row>
    <row r="571" spans="20:20" hidden="1">
      <c r="T571" s="23"/>
    </row>
    <row r="572" spans="20:20" hidden="1">
      <c r="T572" s="23"/>
    </row>
    <row r="573" spans="20:20" hidden="1">
      <c r="T573" s="23"/>
    </row>
    <row r="574" spans="20:20" hidden="1">
      <c r="T574" s="23"/>
    </row>
    <row r="575" spans="20:20" hidden="1">
      <c r="T575" s="23"/>
    </row>
    <row r="576" spans="20:20" hidden="1">
      <c r="T576" s="23"/>
    </row>
    <row r="577" spans="20:20" hidden="1">
      <c r="T577" s="23"/>
    </row>
    <row r="578" spans="20:20" hidden="1">
      <c r="T578" s="23"/>
    </row>
    <row r="579" spans="20:20" hidden="1">
      <c r="T579" s="23"/>
    </row>
    <row r="580" spans="20:20" hidden="1">
      <c r="T580" s="23"/>
    </row>
    <row r="581" spans="20:20" hidden="1">
      <c r="T581" s="23"/>
    </row>
    <row r="582" spans="20:20" hidden="1">
      <c r="T582" s="23"/>
    </row>
    <row r="583" spans="20:20" hidden="1">
      <c r="T583" s="23"/>
    </row>
    <row r="584" spans="20:20" hidden="1">
      <c r="T584" s="23"/>
    </row>
    <row r="585" spans="20:20" hidden="1">
      <c r="T585" s="23"/>
    </row>
    <row r="586" spans="20:20" hidden="1">
      <c r="T586" s="23"/>
    </row>
    <row r="587" spans="20:20" hidden="1">
      <c r="T587" s="23"/>
    </row>
    <row r="588" spans="20:20" hidden="1">
      <c r="T588" s="23"/>
    </row>
    <row r="589" spans="20:20" hidden="1">
      <c r="T589" s="23"/>
    </row>
    <row r="590" spans="20:20" hidden="1">
      <c r="T590" s="23"/>
    </row>
    <row r="591" spans="20:20" hidden="1">
      <c r="T591" s="23"/>
    </row>
    <row r="592" spans="20:20" hidden="1">
      <c r="T592" s="23"/>
    </row>
    <row r="593" spans="20:20" hidden="1">
      <c r="T593" s="23"/>
    </row>
    <row r="594" spans="20:20" hidden="1">
      <c r="T594" s="23"/>
    </row>
    <row r="595" spans="20:20" hidden="1">
      <c r="T595" s="23"/>
    </row>
    <row r="596" spans="20:20" hidden="1">
      <c r="T596" s="23"/>
    </row>
    <row r="597" spans="20:20" hidden="1">
      <c r="T597" s="23"/>
    </row>
    <row r="598" spans="20:20" hidden="1">
      <c r="T598" s="23"/>
    </row>
    <row r="599" spans="20:20" hidden="1">
      <c r="T599" s="23"/>
    </row>
    <row r="600" spans="20:20" hidden="1">
      <c r="T600" s="23"/>
    </row>
    <row r="601" spans="20:20" hidden="1">
      <c r="T601" s="23"/>
    </row>
    <row r="602" spans="20:20" hidden="1">
      <c r="T602" s="23"/>
    </row>
    <row r="603" spans="20:20" hidden="1">
      <c r="T603" s="23"/>
    </row>
    <row r="604" spans="20:20" hidden="1">
      <c r="T604" s="23"/>
    </row>
    <row r="605" spans="20:20" hidden="1">
      <c r="T605" s="23"/>
    </row>
    <row r="606" spans="20:20" hidden="1">
      <c r="T606" s="23"/>
    </row>
    <row r="607" spans="20:20" hidden="1">
      <c r="T607" s="23"/>
    </row>
    <row r="608" spans="20:20" hidden="1">
      <c r="T608" s="23"/>
    </row>
    <row r="609" spans="20:20" hidden="1">
      <c r="T609" s="23"/>
    </row>
    <row r="610" spans="20:20" hidden="1">
      <c r="T610" s="23"/>
    </row>
    <row r="611" spans="20:20" hidden="1">
      <c r="T611" s="23"/>
    </row>
    <row r="612" spans="20:20" hidden="1">
      <c r="T612" s="23"/>
    </row>
    <row r="613" spans="20:20" hidden="1">
      <c r="T613" s="23"/>
    </row>
    <row r="614" spans="20:20" hidden="1">
      <c r="T614" s="23"/>
    </row>
    <row r="615" spans="20:20" hidden="1">
      <c r="T615" s="23"/>
    </row>
    <row r="616" spans="20:20" hidden="1">
      <c r="T616" s="23"/>
    </row>
    <row r="617" spans="20:20" hidden="1">
      <c r="T617" s="23"/>
    </row>
    <row r="618" spans="20:20" hidden="1">
      <c r="T618" s="23"/>
    </row>
    <row r="619" spans="20:20" hidden="1">
      <c r="T619" s="23"/>
    </row>
    <row r="620" spans="20:20" hidden="1">
      <c r="T620" s="23"/>
    </row>
    <row r="621" spans="20:20" hidden="1">
      <c r="T621" s="23"/>
    </row>
    <row r="622" spans="20:20" hidden="1">
      <c r="T622" s="23"/>
    </row>
    <row r="623" spans="20:20" hidden="1">
      <c r="T623" s="23"/>
    </row>
    <row r="624" spans="20:20" hidden="1">
      <c r="T624" s="23"/>
    </row>
    <row r="625" spans="20:20" hidden="1">
      <c r="T625" s="23"/>
    </row>
    <row r="626" spans="20:20" hidden="1">
      <c r="T626" s="23"/>
    </row>
    <row r="627" spans="20:20" hidden="1">
      <c r="T627" s="23"/>
    </row>
    <row r="628" spans="20:20" hidden="1">
      <c r="T628" s="23"/>
    </row>
    <row r="629" spans="20:20" hidden="1">
      <c r="T629" s="23"/>
    </row>
    <row r="630" spans="20:20" hidden="1">
      <c r="T630" s="23"/>
    </row>
    <row r="631" spans="20:20" hidden="1">
      <c r="T631" s="23"/>
    </row>
    <row r="632" spans="20:20" hidden="1">
      <c r="T632" s="23"/>
    </row>
    <row r="633" spans="20:20" hidden="1">
      <c r="T633" s="23"/>
    </row>
    <row r="634" spans="20:20" hidden="1">
      <c r="T634" s="23"/>
    </row>
    <row r="635" spans="20:20" hidden="1">
      <c r="T635" s="23"/>
    </row>
    <row r="636" spans="20:20" hidden="1">
      <c r="T636" s="23"/>
    </row>
    <row r="637" spans="20:20" hidden="1">
      <c r="T637" s="23"/>
    </row>
    <row r="638" spans="20:20" hidden="1">
      <c r="T638" s="23"/>
    </row>
    <row r="639" spans="20:20" hidden="1">
      <c r="T639" s="23"/>
    </row>
    <row r="640" spans="20:20" hidden="1">
      <c r="T640" s="23"/>
    </row>
    <row r="641" spans="20:20" hidden="1">
      <c r="T641" s="23"/>
    </row>
    <row r="642" spans="20:20" hidden="1">
      <c r="T642" s="23"/>
    </row>
    <row r="643" spans="20:20" hidden="1">
      <c r="T643" s="23"/>
    </row>
    <row r="644" spans="20:20" hidden="1">
      <c r="T644" s="23"/>
    </row>
    <row r="645" spans="20:20" hidden="1">
      <c r="T645" s="23"/>
    </row>
    <row r="646" spans="20:20" hidden="1">
      <c r="T646" s="23"/>
    </row>
    <row r="647" spans="20:20" hidden="1">
      <c r="T647" s="23"/>
    </row>
    <row r="648" spans="20:20" hidden="1">
      <c r="T648" s="23"/>
    </row>
    <row r="649" spans="20:20" hidden="1">
      <c r="T649" s="23"/>
    </row>
    <row r="650" spans="20:20" hidden="1">
      <c r="T650" s="23"/>
    </row>
    <row r="651" spans="20:20" hidden="1">
      <c r="T651" s="23"/>
    </row>
    <row r="652" spans="20:20" hidden="1">
      <c r="T652" s="23"/>
    </row>
    <row r="653" spans="20:20" hidden="1">
      <c r="T653" s="23"/>
    </row>
    <row r="654" spans="20:20" hidden="1">
      <c r="T654" s="23"/>
    </row>
    <row r="655" spans="20:20" hidden="1">
      <c r="T655" s="23"/>
    </row>
    <row r="656" spans="20:20" hidden="1">
      <c r="T656" s="23"/>
    </row>
    <row r="657" spans="20:20" hidden="1">
      <c r="T657" s="23"/>
    </row>
    <row r="658" spans="20:20" hidden="1">
      <c r="T658" s="23"/>
    </row>
    <row r="659" spans="20:20" hidden="1">
      <c r="T659" s="23"/>
    </row>
    <row r="660" spans="20:20" hidden="1">
      <c r="T660" s="23"/>
    </row>
    <row r="661" spans="20:20" hidden="1">
      <c r="T661" s="23"/>
    </row>
    <row r="662" spans="20:20" hidden="1">
      <c r="T662" s="23"/>
    </row>
    <row r="663" spans="20:20" hidden="1">
      <c r="T663" s="23"/>
    </row>
    <row r="664" spans="20:20" hidden="1">
      <c r="T664" s="23"/>
    </row>
    <row r="665" spans="20:20" hidden="1">
      <c r="T665" s="23"/>
    </row>
    <row r="666" spans="20:20" hidden="1">
      <c r="T666" s="23"/>
    </row>
    <row r="667" spans="20:20" hidden="1">
      <c r="T667" s="23"/>
    </row>
    <row r="668" spans="20:20" hidden="1">
      <c r="T668" s="23"/>
    </row>
    <row r="669" spans="20:20" hidden="1">
      <c r="T669" s="23"/>
    </row>
    <row r="670" spans="20:20" hidden="1">
      <c r="T670" s="23"/>
    </row>
    <row r="671" spans="20:20" hidden="1">
      <c r="T671" s="23"/>
    </row>
    <row r="672" spans="20:20" hidden="1">
      <c r="T672" s="23"/>
    </row>
    <row r="673" spans="20:20" hidden="1">
      <c r="T673" s="23"/>
    </row>
    <row r="674" spans="20:20" hidden="1">
      <c r="T674" s="23"/>
    </row>
    <row r="675" spans="20:20" hidden="1">
      <c r="T675" s="23"/>
    </row>
    <row r="676" spans="20:20" hidden="1">
      <c r="T676" s="23"/>
    </row>
    <row r="677" spans="20:20" hidden="1">
      <c r="T677" s="23"/>
    </row>
    <row r="678" spans="20:20" hidden="1">
      <c r="T678" s="23"/>
    </row>
    <row r="679" spans="20:20" hidden="1">
      <c r="T679" s="23"/>
    </row>
    <row r="680" spans="20:20" hidden="1">
      <c r="T680" s="23"/>
    </row>
    <row r="681" spans="20:20" hidden="1">
      <c r="T681" s="23"/>
    </row>
    <row r="682" spans="20:20" hidden="1">
      <c r="T682" s="23"/>
    </row>
    <row r="683" spans="20:20" hidden="1">
      <c r="T683" s="23"/>
    </row>
    <row r="684" spans="20:20" hidden="1">
      <c r="T684" s="23"/>
    </row>
    <row r="685" spans="20:20" hidden="1">
      <c r="T685" s="23"/>
    </row>
    <row r="686" spans="20:20" hidden="1">
      <c r="T686" s="23"/>
    </row>
    <row r="687" spans="20:20" hidden="1">
      <c r="T687" s="23"/>
    </row>
    <row r="688" spans="20:20" hidden="1">
      <c r="T688" s="23"/>
    </row>
    <row r="689" spans="20:20" hidden="1">
      <c r="T689" s="23"/>
    </row>
    <row r="690" spans="20:20" hidden="1">
      <c r="T690" s="23"/>
    </row>
    <row r="691" spans="20:20" hidden="1">
      <c r="T691" s="23"/>
    </row>
    <row r="692" spans="20:20" hidden="1">
      <c r="T692" s="23"/>
    </row>
    <row r="693" spans="20:20" hidden="1">
      <c r="T693" s="23"/>
    </row>
    <row r="694" spans="20:20" hidden="1">
      <c r="T694" s="23"/>
    </row>
    <row r="695" spans="20:20" hidden="1">
      <c r="T695" s="23"/>
    </row>
    <row r="696" spans="20:20" hidden="1">
      <c r="T696" s="23"/>
    </row>
    <row r="697" spans="20:20" hidden="1">
      <c r="T697" s="23"/>
    </row>
    <row r="698" spans="20:20" hidden="1">
      <c r="T698" s="23"/>
    </row>
    <row r="699" spans="20:20" hidden="1">
      <c r="T699" s="23"/>
    </row>
    <row r="700" spans="20:20" hidden="1">
      <c r="T700" s="23"/>
    </row>
    <row r="701" spans="20:20" hidden="1">
      <c r="T701" s="23"/>
    </row>
    <row r="702" spans="20:20" hidden="1">
      <c r="T702" s="23"/>
    </row>
    <row r="703" spans="20:20" hidden="1">
      <c r="T703" s="23"/>
    </row>
    <row r="704" spans="20:20" hidden="1">
      <c r="T704" s="23"/>
    </row>
    <row r="705" spans="20:20" hidden="1">
      <c r="T705" s="23"/>
    </row>
    <row r="706" spans="20:20" hidden="1">
      <c r="T706" s="23"/>
    </row>
    <row r="707" spans="20:20" hidden="1">
      <c r="T707" s="23"/>
    </row>
    <row r="708" spans="20:20" hidden="1">
      <c r="T708" s="23"/>
    </row>
    <row r="709" spans="20:20" hidden="1">
      <c r="T709" s="23"/>
    </row>
    <row r="710" spans="20:20" hidden="1">
      <c r="T710" s="23"/>
    </row>
    <row r="711" spans="20:20" hidden="1">
      <c r="T711" s="23"/>
    </row>
    <row r="712" spans="20:20" hidden="1">
      <c r="T712" s="23"/>
    </row>
    <row r="713" spans="20:20" hidden="1">
      <c r="T713" s="23"/>
    </row>
    <row r="714" spans="20:20" hidden="1">
      <c r="T714" s="23"/>
    </row>
    <row r="715" spans="20:20" hidden="1">
      <c r="T715" s="23"/>
    </row>
    <row r="716" spans="20:20" hidden="1">
      <c r="T716" s="23"/>
    </row>
    <row r="717" spans="20:20" hidden="1">
      <c r="T717" s="23"/>
    </row>
    <row r="718" spans="20:20" hidden="1">
      <c r="T718" s="23"/>
    </row>
    <row r="719" spans="20:20" hidden="1">
      <c r="T719" s="23"/>
    </row>
    <row r="720" spans="20:20" hidden="1">
      <c r="T720" s="23"/>
    </row>
    <row r="721" spans="20:20" hidden="1">
      <c r="T721" s="23"/>
    </row>
    <row r="722" spans="20:20" hidden="1">
      <c r="T722" s="23"/>
    </row>
    <row r="723" spans="20:20" hidden="1">
      <c r="T723" s="23"/>
    </row>
    <row r="724" spans="20:20" hidden="1">
      <c r="T724" s="23"/>
    </row>
    <row r="725" spans="20:20" hidden="1">
      <c r="T725" s="23"/>
    </row>
    <row r="726" spans="20:20" hidden="1">
      <c r="T726" s="23"/>
    </row>
    <row r="727" spans="20:20" hidden="1">
      <c r="T727" s="23"/>
    </row>
    <row r="728" spans="20:20" hidden="1">
      <c r="T728" s="23"/>
    </row>
    <row r="729" spans="20:20" hidden="1">
      <c r="T729" s="23"/>
    </row>
    <row r="730" spans="20:20" hidden="1">
      <c r="T730" s="23"/>
    </row>
    <row r="731" spans="20:20" hidden="1">
      <c r="T731" s="23"/>
    </row>
    <row r="732" spans="20:20" hidden="1">
      <c r="T732" s="23"/>
    </row>
    <row r="733" spans="20:20" hidden="1">
      <c r="T733" s="23"/>
    </row>
    <row r="734" spans="20:20" hidden="1">
      <c r="T734" s="23"/>
    </row>
    <row r="735" spans="20:20" hidden="1">
      <c r="T735" s="23"/>
    </row>
    <row r="736" spans="20:20" hidden="1">
      <c r="T736" s="23"/>
    </row>
    <row r="737" spans="20:20" hidden="1">
      <c r="T737" s="23"/>
    </row>
    <row r="738" spans="20:20" hidden="1">
      <c r="T738" s="23"/>
    </row>
    <row r="739" spans="20:20" hidden="1">
      <c r="T739" s="23"/>
    </row>
    <row r="740" spans="20:20" hidden="1">
      <c r="T740" s="23"/>
    </row>
    <row r="741" spans="20:20" hidden="1">
      <c r="T741" s="23"/>
    </row>
    <row r="742" spans="20:20" hidden="1">
      <c r="T742" s="23"/>
    </row>
    <row r="743" spans="20:20" hidden="1">
      <c r="T743" s="23"/>
    </row>
    <row r="744" spans="20:20" hidden="1">
      <c r="T744" s="23"/>
    </row>
    <row r="745" spans="20:20" hidden="1">
      <c r="T745" s="23"/>
    </row>
    <row r="746" spans="20:20" hidden="1">
      <c r="T746" s="23"/>
    </row>
    <row r="747" spans="20:20" hidden="1">
      <c r="T747" s="23"/>
    </row>
    <row r="748" spans="20:20" hidden="1">
      <c r="T748" s="23"/>
    </row>
    <row r="749" spans="20:20" hidden="1">
      <c r="T749" s="23"/>
    </row>
    <row r="750" spans="20:20" hidden="1">
      <c r="T750" s="23"/>
    </row>
    <row r="751" spans="20:20" hidden="1">
      <c r="T751" s="23"/>
    </row>
    <row r="752" spans="20:20" hidden="1">
      <c r="T752" s="23"/>
    </row>
    <row r="753" spans="20:20" hidden="1">
      <c r="T753" s="23"/>
    </row>
    <row r="754" spans="20:20" hidden="1">
      <c r="T754" s="23"/>
    </row>
    <row r="755" spans="20:20" hidden="1">
      <c r="T755" s="23"/>
    </row>
    <row r="756" spans="20:20" hidden="1">
      <c r="T756" s="23"/>
    </row>
    <row r="757" spans="20:20" hidden="1">
      <c r="T757" s="23"/>
    </row>
    <row r="758" spans="20:20" hidden="1">
      <c r="T758" s="23"/>
    </row>
    <row r="759" spans="20:20" hidden="1">
      <c r="T759" s="23"/>
    </row>
    <row r="760" spans="20:20" hidden="1">
      <c r="T760" s="23"/>
    </row>
    <row r="761" spans="20:20" hidden="1">
      <c r="T761" s="23"/>
    </row>
    <row r="762" spans="20:20" hidden="1">
      <c r="T762" s="23"/>
    </row>
    <row r="763" spans="20:20" hidden="1">
      <c r="T763" s="23"/>
    </row>
    <row r="764" spans="20:20" hidden="1">
      <c r="T764" s="23"/>
    </row>
    <row r="765" spans="20:20" hidden="1">
      <c r="T765" s="23"/>
    </row>
    <row r="766" spans="20:20" hidden="1">
      <c r="T766" s="23"/>
    </row>
    <row r="767" spans="20:20" hidden="1">
      <c r="T767" s="23"/>
    </row>
    <row r="768" spans="20:20" hidden="1">
      <c r="T768" s="23"/>
    </row>
    <row r="769" spans="20:20" hidden="1">
      <c r="T769" s="23"/>
    </row>
    <row r="770" spans="20:20" hidden="1">
      <c r="T770" s="23"/>
    </row>
    <row r="771" spans="20:20" hidden="1">
      <c r="T771" s="23"/>
    </row>
    <row r="772" spans="20:20" hidden="1">
      <c r="T772" s="23"/>
    </row>
    <row r="773" spans="20:20" hidden="1">
      <c r="T773" s="23"/>
    </row>
    <row r="774" spans="20:20" hidden="1">
      <c r="T774" s="23"/>
    </row>
    <row r="775" spans="20:20" hidden="1">
      <c r="T775" s="23"/>
    </row>
    <row r="776" spans="20:20" hidden="1">
      <c r="T776" s="23"/>
    </row>
    <row r="777" spans="20:20" hidden="1">
      <c r="T777" s="23"/>
    </row>
    <row r="778" spans="20:20" hidden="1">
      <c r="T778" s="23"/>
    </row>
    <row r="779" spans="20:20" hidden="1">
      <c r="T779" s="23"/>
    </row>
    <row r="780" spans="20:20" hidden="1">
      <c r="T780" s="23"/>
    </row>
    <row r="781" spans="20:20" hidden="1">
      <c r="T781" s="23"/>
    </row>
    <row r="782" spans="20:20" hidden="1">
      <c r="T782" s="23"/>
    </row>
    <row r="783" spans="20:20" hidden="1">
      <c r="T783" s="23"/>
    </row>
    <row r="784" spans="20:20" hidden="1">
      <c r="T784" s="23"/>
    </row>
    <row r="785" spans="20:20" hidden="1">
      <c r="T785" s="23"/>
    </row>
    <row r="786" spans="20:20" hidden="1">
      <c r="T786" s="23"/>
    </row>
    <row r="787" spans="20:20" hidden="1">
      <c r="T787" s="23"/>
    </row>
    <row r="788" spans="20:20" hidden="1">
      <c r="T788" s="23"/>
    </row>
    <row r="789" spans="20:20" hidden="1">
      <c r="T789" s="23"/>
    </row>
    <row r="790" spans="20:20" hidden="1">
      <c r="T790" s="23"/>
    </row>
    <row r="791" spans="20:20" hidden="1">
      <c r="T791" s="23"/>
    </row>
    <row r="792" spans="20:20" hidden="1">
      <c r="T792" s="23"/>
    </row>
    <row r="793" spans="20:20" hidden="1">
      <c r="T793" s="23"/>
    </row>
    <row r="794" spans="20:20" hidden="1">
      <c r="T794" s="23"/>
    </row>
    <row r="795" spans="20:20" hidden="1">
      <c r="T795" s="23"/>
    </row>
    <row r="796" spans="20:20" hidden="1">
      <c r="T796" s="23"/>
    </row>
    <row r="797" spans="20:20" hidden="1">
      <c r="T797" s="23"/>
    </row>
    <row r="798" spans="20:20" hidden="1">
      <c r="T798" s="23"/>
    </row>
    <row r="799" spans="20:20" hidden="1">
      <c r="T799" s="23"/>
    </row>
    <row r="800" spans="20:20" hidden="1">
      <c r="T800" s="23"/>
    </row>
    <row r="801" spans="20:20" hidden="1">
      <c r="T801" s="23"/>
    </row>
    <row r="802" spans="20:20" hidden="1">
      <c r="T802" s="23"/>
    </row>
    <row r="803" spans="20:20" hidden="1">
      <c r="T803" s="23"/>
    </row>
    <row r="804" spans="20:20" hidden="1">
      <c r="T804" s="23"/>
    </row>
    <row r="805" spans="20:20" hidden="1">
      <c r="T805" s="23"/>
    </row>
    <row r="806" spans="20:20" hidden="1">
      <c r="T806" s="23"/>
    </row>
    <row r="807" spans="20:20" hidden="1">
      <c r="T807" s="23"/>
    </row>
    <row r="808" spans="20:20" hidden="1">
      <c r="T808" s="23"/>
    </row>
    <row r="809" spans="20:20" hidden="1">
      <c r="T809" s="23"/>
    </row>
    <row r="810" spans="20:20" hidden="1">
      <c r="T810" s="23"/>
    </row>
    <row r="811" spans="20:20" hidden="1">
      <c r="T811" s="23"/>
    </row>
    <row r="812" spans="20:20" hidden="1">
      <c r="T812" s="23"/>
    </row>
    <row r="813" spans="20:20" hidden="1">
      <c r="T813" s="23"/>
    </row>
    <row r="814" spans="20:20" hidden="1">
      <c r="T814" s="23"/>
    </row>
    <row r="815" spans="20:20" hidden="1">
      <c r="T815" s="23"/>
    </row>
    <row r="816" spans="20:20" hidden="1">
      <c r="T816" s="23"/>
    </row>
    <row r="817" spans="20:20" hidden="1">
      <c r="T817" s="23"/>
    </row>
    <row r="818" spans="20:20" hidden="1">
      <c r="T818" s="23"/>
    </row>
    <row r="819" spans="20:20" hidden="1">
      <c r="T819" s="23"/>
    </row>
    <row r="820" spans="20:20" hidden="1">
      <c r="T820" s="23"/>
    </row>
    <row r="821" spans="20:20" hidden="1">
      <c r="T821" s="23"/>
    </row>
    <row r="822" spans="20:20" hidden="1">
      <c r="T822" s="23"/>
    </row>
    <row r="823" spans="20:20" hidden="1">
      <c r="T823" s="23"/>
    </row>
    <row r="824" spans="20:20" hidden="1">
      <c r="T824" s="23"/>
    </row>
    <row r="825" spans="20:20" hidden="1">
      <c r="T825" s="23"/>
    </row>
    <row r="826" spans="20:20" hidden="1">
      <c r="T826" s="23"/>
    </row>
    <row r="827" spans="20:20" hidden="1">
      <c r="T827" s="23"/>
    </row>
    <row r="828" spans="20:20" hidden="1">
      <c r="T828" s="23"/>
    </row>
    <row r="829" spans="20:20" hidden="1">
      <c r="T829" s="23"/>
    </row>
    <row r="830" spans="20:20" hidden="1">
      <c r="T830" s="23"/>
    </row>
    <row r="831" spans="20:20" hidden="1">
      <c r="T831" s="23"/>
    </row>
    <row r="832" spans="20:20" hidden="1">
      <c r="T832" s="23"/>
    </row>
    <row r="833" spans="20:20" hidden="1">
      <c r="T833" s="23"/>
    </row>
    <row r="834" spans="20:20" hidden="1">
      <c r="T834" s="23"/>
    </row>
    <row r="835" spans="20:20" hidden="1">
      <c r="T835" s="23"/>
    </row>
    <row r="836" spans="20:20" hidden="1">
      <c r="T836" s="23"/>
    </row>
    <row r="837" spans="20:20" hidden="1">
      <c r="T837" s="23"/>
    </row>
    <row r="838" spans="20:20" hidden="1">
      <c r="T838" s="23"/>
    </row>
    <row r="839" spans="20:20" hidden="1">
      <c r="T839" s="23"/>
    </row>
    <row r="840" spans="20:20" hidden="1">
      <c r="T840" s="23"/>
    </row>
    <row r="841" spans="20:20" hidden="1">
      <c r="T841" s="23"/>
    </row>
    <row r="842" spans="20:20" hidden="1">
      <c r="T842" s="23"/>
    </row>
    <row r="843" spans="20:20" hidden="1">
      <c r="T843" s="23"/>
    </row>
    <row r="844" spans="20:20" hidden="1">
      <c r="T844" s="23"/>
    </row>
    <row r="845" spans="20:20" hidden="1">
      <c r="T845" s="23"/>
    </row>
    <row r="846" spans="20:20" hidden="1">
      <c r="T846" s="23"/>
    </row>
    <row r="847" spans="20:20" hidden="1">
      <c r="T847" s="23"/>
    </row>
    <row r="848" spans="20:20" hidden="1">
      <c r="T848" s="23"/>
    </row>
    <row r="849" spans="20:20" hidden="1">
      <c r="T849" s="23"/>
    </row>
    <row r="850" spans="20:20" hidden="1">
      <c r="T850" s="23"/>
    </row>
    <row r="851" spans="20:20" hidden="1">
      <c r="T851" s="23"/>
    </row>
    <row r="852" spans="20:20" hidden="1">
      <c r="T852" s="23"/>
    </row>
    <row r="853" spans="20:20" hidden="1">
      <c r="T853" s="23"/>
    </row>
    <row r="854" spans="20:20" hidden="1">
      <c r="T854" s="23"/>
    </row>
    <row r="855" spans="20:20" hidden="1">
      <c r="T855" s="23"/>
    </row>
    <row r="856" spans="20:20" hidden="1">
      <c r="T856" s="23"/>
    </row>
    <row r="857" spans="20:20" hidden="1">
      <c r="T857" s="23"/>
    </row>
    <row r="858" spans="20:20" hidden="1">
      <c r="T858" s="23"/>
    </row>
    <row r="859" spans="20:20" hidden="1">
      <c r="T859" s="23"/>
    </row>
    <row r="860" spans="20:20" hidden="1">
      <c r="T860" s="23"/>
    </row>
    <row r="861" spans="20:20" hidden="1">
      <c r="T861" s="23"/>
    </row>
    <row r="862" spans="20:20" hidden="1">
      <c r="T862" s="23"/>
    </row>
    <row r="863" spans="20:20" hidden="1">
      <c r="T863" s="23"/>
    </row>
    <row r="864" spans="20:20" hidden="1">
      <c r="T864" s="23"/>
    </row>
    <row r="865" spans="20:20" hidden="1">
      <c r="T865" s="23"/>
    </row>
    <row r="866" spans="20:20" hidden="1">
      <c r="T866" s="23"/>
    </row>
    <row r="867" spans="20:20" hidden="1">
      <c r="T867" s="23"/>
    </row>
    <row r="868" spans="20:20" hidden="1">
      <c r="T868" s="23"/>
    </row>
    <row r="869" spans="20:20" hidden="1">
      <c r="T869" s="23"/>
    </row>
    <row r="870" spans="20:20" hidden="1">
      <c r="T870" s="23"/>
    </row>
    <row r="871" spans="20:20" hidden="1">
      <c r="T871" s="23"/>
    </row>
    <row r="872" spans="20:20" hidden="1">
      <c r="T872" s="23"/>
    </row>
    <row r="873" spans="20:20" hidden="1">
      <c r="T873" s="23"/>
    </row>
    <row r="874" spans="20:20" hidden="1">
      <c r="T874" s="23"/>
    </row>
    <row r="875" spans="20:20" hidden="1">
      <c r="T875" s="23"/>
    </row>
    <row r="876" spans="20:20" hidden="1">
      <c r="T876" s="23"/>
    </row>
    <row r="877" spans="20:20" hidden="1">
      <c r="T877" s="23"/>
    </row>
    <row r="878" spans="20:20" hidden="1">
      <c r="T878" s="23"/>
    </row>
    <row r="879" spans="20:20" hidden="1">
      <c r="T879" s="23"/>
    </row>
    <row r="880" spans="20:20" hidden="1">
      <c r="T880" s="23"/>
    </row>
    <row r="881" spans="20:20" hidden="1">
      <c r="T881" s="23"/>
    </row>
    <row r="882" spans="20:20" hidden="1">
      <c r="T882" s="23"/>
    </row>
    <row r="883" spans="20:20" hidden="1">
      <c r="T883" s="23"/>
    </row>
    <row r="884" spans="20:20" hidden="1">
      <c r="T884" s="23"/>
    </row>
    <row r="885" spans="20:20" hidden="1">
      <c r="T885" s="23"/>
    </row>
    <row r="886" spans="20:20" hidden="1">
      <c r="T886" s="23"/>
    </row>
    <row r="887" spans="20:20" hidden="1">
      <c r="T887" s="23"/>
    </row>
    <row r="888" spans="20:20" hidden="1">
      <c r="T888" s="23"/>
    </row>
    <row r="889" spans="20:20" hidden="1">
      <c r="T889" s="23"/>
    </row>
    <row r="890" spans="20:20" hidden="1">
      <c r="T890" s="23"/>
    </row>
    <row r="891" spans="20:20" hidden="1">
      <c r="T891" s="23"/>
    </row>
    <row r="892" spans="20:20" hidden="1">
      <c r="T892" s="23"/>
    </row>
    <row r="893" spans="20:20" hidden="1">
      <c r="T893" s="23"/>
    </row>
    <row r="894" spans="20:20" hidden="1">
      <c r="T894" s="23"/>
    </row>
    <row r="895" spans="20:20" hidden="1">
      <c r="T895" s="23"/>
    </row>
    <row r="896" spans="20:20" hidden="1">
      <c r="T896" s="23"/>
    </row>
    <row r="897" spans="20:20" hidden="1">
      <c r="T897" s="23"/>
    </row>
    <row r="898" spans="20:20" hidden="1">
      <c r="T898" s="23"/>
    </row>
    <row r="899" spans="20:20" hidden="1">
      <c r="T899" s="23"/>
    </row>
    <row r="900" spans="20:20" hidden="1">
      <c r="T900" s="23"/>
    </row>
    <row r="901" spans="20:20" hidden="1">
      <c r="T901" s="23"/>
    </row>
    <row r="902" spans="20:20" hidden="1">
      <c r="T902" s="23"/>
    </row>
    <row r="903" spans="20:20" hidden="1">
      <c r="T903" s="23"/>
    </row>
    <row r="904" spans="20:20" hidden="1">
      <c r="T904" s="23"/>
    </row>
    <row r="905" spans="20:20" hidden="1">
      <c r="T905" s="23"/>
    </row>
    <row r="906" spans="20:20" hidden="1">
      <c r="T906" s="23"/>
    </row>
    <row r="907" spans="20:20" hidden="1">
      <c r="T907" s="23"/>
    </row>
    <row r="908" spans="20:20" hidden="1">
      <c r="T908" s="23"/>
    </row>
    <row r="909" spans="20:20" hidden="1">
      <c r="T909" s="23"/>
    </row>
    <row r="910" spans="20:20" hidden="1">
      <c r="T910" s="23"/>
    </row>
    <row r="911" spans="20:20" hidden="1">
      <c r="T911" s="23"/>
    </row>
    <row r="912" spans="20:20" hidden="1">
      <c r="T912" s="23"/>
    </row>
    <row r="913" spans="20:20" hidden="1">
      <c r="T913" s="23"/>
    </row>
    <row r="914" spans="20:20" hidden="1">
      <c r="T914" s="23"/>
    </row>
    <row r="915" spans="20:20" hidden="1">
      <c r="T915" s="23"/>
    </row>
    <row r="916" spans="20:20" hidden="1">
      <c r="T916" s="23"/>
    </row>
    <row r="917" spans="20:20" hidden="1">
      <c r="T917" s="23"/>
    </row>
    <row r="918" spans="20:20" hidden="1">
      <c r="T918" s="23"/>
    </row>
    <row r="919" spans="20:20" hidden="1">
      <c r="T919" s="23"/>
    </row>
    <row r="920" spans="20:20" hidden="1">
      <c r="T920" s="23"/>
    </row>
    <row r="921" spans="20:20" hidden="1">
      <c r="T921" s="23"/>
    </row>
    <row r="922" spans="20:20" hidden="1">
      <c r="T922" s="23"/>
    </row>
    <row r="923" spans="20:20" hidden="1">
      <c r="T923" s="23"/>
    </row>
    <row r="924" spans="20:20" hidden="1">
      <c r="T924" s="23"/>
    </row>
    <row r="925" spans="20:20" hidden="1">
      <c r="T925" s="23"/>
    </row>
    <row r="926" spans="20:20" hidden="1">
      <c r="T926" s="23"/>
    </row>
    <row r="927" spans="20:20" hidden="1">
      <c r="T927" s="23"/>
    </row>
    <row r="928" spans="20:20" hidden="1">
      <c r="T928" s="23"/>
    </row>
    <row r="929" spans="20:20" hidden="1">
      <c r="T929" s="23"/>
    </row>
    <row r="930" spans="20:20" hidden="1">
      <c r="T930" s="23"/>
    </row>
    <row r="931" spans="20:20" hidden="1">
      <c r="T931" s="23"/>
    </row>
    <row r="932" spans="20:20" hidden="1">
      <c r="T932" s="23"/>
    </row>
    <row r="933" spans="20:20" hidden="1">
      <c r="T933" s="23"/>
    </row>
    <row r="934" spans="20:20" hidden="1">
      <c r="T934" s="23"/>
    </row>
    <row r="935" spans="20:20" hidden="1">
      <c r="T935" s="23"/>
    </row>
    <row r="936" spans="20:20" hidden="1">
      <c r="T936" s="23"/>
    </row>
    <row r="937" spans="20:20" hidden="1">
      <c r="T937" s="23"/>
    </row>
    <row r="938" spans="20:20" hidden="1">
      <c r="T938" s="23"/>
    </row>
    <row r="939" spans="20:20" hidden="1">
      <c r="T939" s="23"/>
    </row>
    <row r="940" spans="20:20" hidden="1">
      <c r="T940" s="23"/>
    </row>
    <row r="941" spans="20:20" hidden="1">
      <c r="T941" s="23"/>
    </row>
    <row r="942" spans="20:20" hidden="1">
      <c r="T942" s="23"/>
    </row>
    <row r="943" spans="20:20" hidden="1">
      <c r="T943" s="23"/>
    </row>
    <row r="944" spans="20:20" hidden="1">
      <c r="T944" s="23"/>
    </row>
    <row r="945" spans="20:20" hidden="1">
      <c r="T945" s="23"/>
    </row>
    <row r="946" spans="20:20" hidden="1">
      <c r="T946" s="23"/>
    </row>
    <row r="947" spans="20:20" hidden="1">
      <c r="T947" s="23"/>
    </row>
    <row r="948" spans="20:20" hidden="1">
      <c r="T948" s="23"/>
    </row>
    <row r="949" spans="20:20" hidden="1">
      <c r="T949" s="23"/>
    </row>
    <row r="950" spans="20:20" hidden="1">
      <c r="T950" s="23"/>
    </row>
    <row r="951" spans="20:20" hidden="1">
      <c r="T951" s="23"/>
    </row>
    <row r="952" spans="20:20" hidden="1">
      <c r="T952" s="23"/>
    </row>
    <row r="953" spans="20:20" hidden="1">
      <c r="T953" s="23"/>
    </row>
    <row r="954" spans="20:20" hidden="1">
      <c r="T954" s="23"/>
    </row>
    <row r="955" spans="20:20" hidden="1">
      <c r="T955" s="23"/>
    </row>
    <row r="956" spans="20:20" hidden="1">
      <c r="T956" s="23"/>
    </row>
    <row r="957" spans="20:20" hidden="1">
      <c r="T957" s="23"/>
    </row>
    <row r="958" spans="20:20" hidden="1">
      <c r="T958" s="23"/>
    </row>
    <row r="959" spans="20:20" hidden="1">
      <c r="T959" s="23"/>
    </row>
    <row r="960" spans="20:20" hidden="1">
      <c r="T960" s="23"/>
    </row>
    <row r="961" spans="20:20" hidden="1">
      <c r="T961" s="23"/>
    </row>
    <row r="962" spans="20:20" hidden="1">
      <c r="T962" s="23"/>
    </row>
    <row r="963" spans="20:20" hidden="1">
      <c r="T963" s="23"/>
    </row>
    <row r="964" spans="20:20" hidden="1">
      <c r="T964" s="23"/>
    </row>
    <row r="965" spans="20:20" hidden="1">
      <c r="T965" s="23"/>
    </row>
    <row r="966" spans="20:20" hidden="1">
      <c r="T966" s="23"/>
    </row>
    <row r="967" spans="20:20" hidden="1">
      <c r="T967" s="23"/>
    </row>
    <row r="968" spans="20:20" hidden="1">
      <c r="T968" s="23"/>
    </row>
    <row r="969" spans="20:20" hidden="1">
      <c r="T969" s="23"/>
    </row>
    <row r="970" spans="20:20" hidden="1">
      <c r="T970" s="23"/>
    </row>
    <row r="971" spans="20:20" hidden="1">
      <c r="T971" s="23"/>
    </row>
    <row r="972" spans="20:20" hidden="1">
      <c r="T972" s="23"/>
    </row>
    <row r="973" spans="20:20" hidden="1">
      <c r="T973" s="23"/>
    </row>
    <row r="974" spans="20:20" hidden="1">
      <c r="T974" s="23"/>
    </row>
    <row r="975" spans="20:20" hidden="1">
      <c r="T975" s="23"/>
    </row>
    <row r="976" spans="20:20" hidden="1">
      <c r="T976" s="23"/>
    </row>
    <row r="977" spans="20:20" hidden="1">
      <c r="T977" s="23"/>
    </row>
    <row r="978" spans="20:20" hidden="1">
      <c r="T978" s="23"/>
    </row>
    <row r="979" spans="20:20" hidden="1">
      <c r="T979" s="23"/>
    </row>
    <row r="980" spans="20:20" hidden="1">
      <c r="T980" s="23"/>
    </row>
    <row r="981" spans="20:20" hidden="1">
      <c r="T981" s="23"/>
    </row>
    <row r="982" spans="20:20" hidden="1">
      <c r="T982" s="23"/>
    </row>
    <row r="983" spans="20:20" hidden="1">
      <c r="T983" s="23"/>
    </row>
    <row r="984" spans="20:20" hidden="1">
      <c r="T984" s="23"/>
    </row>
    <row r="985" spans="20:20" hidden="1">
      <c r="T985" s="23"/>
    </row>
    <row r="986" spans="20:20" hidden="1">
      <c r="T986" s="23"/>
    </row>
    <row r="987" spans="20:20" hidden="1">
      <c r="T987" s="23"/>
    </row>
    <row r="988" spans="20:20" hidden="1">
      <c r="T988" s="23"/>
    </row>
    <row r="989" spans="20:20" hidden="1">
      <c r="T989" s="23"/>
    </row>
    <row r="990" spans="20:20" hidden="1">
      <c r="T990" s="23"/>
    </row>
    <row r="991" spans="20:20" hidden="1">
      <c r="T991" s="23"/>
    </row>
    <row r="992" spans="20:20" hidden="1">
      <c r="T992" s="23"/>
    </row>
    <row r="993" spans="20:20" hidden="1">
      <c r="T993" s="23"/>
    </row>
    <row r="994" spans="20:20" hidden="1">
      <c r="T994" s="23"/>
    </row>
    <row r="995" spans="20:20" hidden="1">
      <c r="T995" s="23"/>
    </row>
    <row r="996" spans="20:20" hidden="1">
      <c r="T996" s="23"/>
    </row>
    <row r="997" spans="20:20" hidden="1">
      <c r="T997" s="23"/>
    </row>
    <row r="998" spans="20:20" hidden="1">
      <c r="T998" s="23"/>
    </row>
    <row r="999" spans="20:20" hidden="1">
      <c r="T999" s="23"/>
    </row>
    <row r="1000" spans="20:20" hidden="1">
      <c r="T1000" s="23"/>
    </row>
    <row r="1001" spans="20:20" hidden="1">
      <c r="T1001" s="23"/>
    </row>
    <row r="1002" spans="20:20" hidden="1">
      <c r="T1002" s="23"/>
    </row>
    <row r="1003" spans="20:20" hidden="1">
      <c r="T1003" s="23"/>
    </row>
    <row r="1004" spans="20:20" hidden="1">
      <c r="T1004" s="23"/>
    </row>
    <row r="1005" spans="20:20" hidden="1">
      <c r="T1005" s="23"/>
    </row>
    <row r="1006" spans="20:20" hidden="1">
      <c r="T1006" s="23"/>
    </row>
    <row r="1007" spans="20:20" hidden="1">
      <c r="T1007" s="23"/>
    </row>
    <row r="1008" spans="20:20" hidden="1">
      <c r="T1008" s="23"/>
    </row>
    <row r="1009" spans="20:20" hidden="1">
      <c r="T1009" s="23"/>
    </row>
    <row r="1010" spans="20:20" hidden="1">
      <c r="T1010" s="23"/>
    </row>
    <row r="1011" spans="20:20" hidden="1">
      <c r="T1011" s="23"/>
    </row>
    <row r="1012" spans="20:20" hidden="1">
      <c r="T1012" s="23"/>
    </row>
    <row r="1013" spans="20:20" hidden="1">
      <c r="T1013" s="23"/>
    </row>
    <row r="1014" spans="20:20" hidden="1">
      <c r="T1014" s="23"/>
    </row>
    <row r="1015" spans="20:20" hidden="1">
      <c r="T1015" s="23"/>
    </row>
    <row r="1016" spans="20:20" hidden="1">
      <c r="T1016" s="23"/>
    </row>
    <row r="1017" spans="20:20" hidden="1">
      <c r="T1017" s="23"/>
    </row>
    <row r="1018" spans="20:20" hidden="1">
      <c r="T1018" s="23"/>
    </row>
    <row r="1019" spans="20:20" hidden="1">
      <c r="T1019" s="23"/>
    </row>
    <row r="1020" spans="20:20" hidden="1">
      <c r="T1020" s="23"/>
    </row>
    <row r="1021" spans="20:20" hidden="1">
      <c r="T1021" s="23"/>
    </row>
    <row r="1022" spans="20:20" hidden="1">
      <c r="T1022" s="23"/>
    </row>
    <row r="1023" spans="20:20" hidden="1">
      <c r="T1023" s="23"/>
    </row>
    <row r="1024" spans="20:20" hidden="1">
      <c r="T1024" s="23"/>
    </row>
    <row r="1025" spans="20:20" hidden="1">
      <c r="T1025" s="23"/>
    </row>
    <row r="1026" spans="20:20" hidden="1">
      <c r="T1026" s="23"/>
    </row>
    <row r="1027" spans="20:20" hidden="1">
      <c r="T1027" s="23"/>
    </row>
    <row r="1028" spans="20:20" hidden="1">
      <c r="T1028" s="23"/>
    </row>
    <row r="1029" spans="20:20" hidden="1">
      <c r="T1029" s="23"/>
    </row>
    <row r="1030" spans="20:20" hidden="1">
      <c r="T1030" s="23"/>
    </row>
    <row r="1031" spans="20:20" hidden="1">
      <c r="T1031" s="23"/>
    </row>
    <row r="1032" spans="20:20" hidden="1">
      <c r="T1032" s="23"/>
    </row>
    <row r="1033" spans="20:20" hidden="1">
      <c r="T1033" s="23"/>
    </row>
    <row r="1034" spans="20:20" hidden="1">
      <c r="T1034" s="23"/>
    </row>
    <row r="1035" spans="20:20" hidden="1">
      <c r="T1035" s="23"/>
    </row>
    <row r="1036" spans="20:20" hidden="1">
      <c r="T1036" s="23"/>
    </row>
    <row r="1037" spans="20:20" hidden="1">
      <c r="T1037" s="23"/>
    </row>
    <row r="1038" spans="20:20" hidden="1">
      <c r="T1038" s="23"/>
    </row>
    <row r="1039" spans="20:20" hidden="1">
      <c r="T1039" s="23"/>
    </row>
    <row r="1040" spans="20:20" hidden="1">
      <c r="T1040" s="23"/>
    </row>
    <row r="1041" spans="20:20" hidden="1">
      <c r="T1041" s="23"/>
    </row>
    <row r="1042" spans="20:20" hidden="1">
      <c r="T1042" s="23"/>
    </row>
    <row r="1043" spans="20:20" hidden="1">
      <c r="T1043" s="23"/>
    </row>
    <row r="1044" spans="20:20" hidden="1">
      <c r="T1044" s="23"/>
    </row>
    <row r="1045" spans="20:20" hidden="1">
      <c r="T1045" s="23"/>
    </row>
    <row r="1046" spans="20:20" hidden="1">
      <c r="T1046" s="23"/>
    </row>
    <row r="1047" spans="20:20" hidden="1">
      <c r="T1047" s="23"/>
    </row>
    <row r="1048" spans="20:20" hidden="1">
      <c r="T1048" s="23"/>
    </row>
    <row r="1049" spans="20:20" hidden="1">
      <c r="T1049" s="23"/>
    </row>
    <row r="1050" spans="20:20" hidden="1">
      <c r="T1050" s="23"/>
    </row>
    <row r="1051" spans="20:20" hidden="1">
      <c r="T1051" s="23"/>
    </row>
    <row r="1052" spans="20:20" hidden="1">
      <c r="T1052" s="23"/>
    </row>
    <row r="1053" spans="20:20" hidden="1">
      <c r="T1053" s="23"/>
    </row>
    <row r="1054" spans="20:20" hidden="1">
      <c r="T1054" s="23"/>
    </row>
    <row r="1055" spans="20:20" hidden="1">
      <c r="T1055" s="23"/>
    </row>
    <row r="1056" spans="20:20" hidden="1">
      <c r="T1056" s="23"/>
    </row>
    <row r="1057" spans="20:20" hidden="1">
      <c r="T1057" s="23"/>
    </row>
    <row r="1058" spans="20:20" hidden="1">
      <c r="T1058" s="23"/>
    </row>
    <row r="1059" spans="20:20" hidden="1">
      <c r="T1059" s="23"/>
    </row>
    <row r="1060" spans="20:20" hidden="1">
      <c r="T1060" s="23"/>
    </row>
    <row r="1061" spans="20:20" hidden="1">
      <c r="T1061" s="23"/>
    </row>
    <row r="1062" spans="20:20" hidden="1">
      <c r="T1062" s="23"/>
    </row>
    <row r="1063" spans="20:20" hidden="1">
      <c r="T1063" s="23"/>
    </row>
    <row r="1064" spans="20:20" hidden="1">
      <c r="T1064" s="23"/>
    </row>
    <row r="1065" spans="20:20" hidden="1">
      <c r="T1065" s="23"/>
    </row>
    <row r="1066" spans="20:20" hidden="1">
      <c r="T1066" s="23"/>
    </row>
    <row r="1067" spans="20:20" hidden="1">
      <c r="T1067" s="23"/>
    </row>
    <row r="1068" spans="20:20" hidden="1">
      <c r="T1068" s="23"/>
    </row>
    <row r="1069" spans="20:20" hidden="1">
      <c r="T1069" s="23"/>
    </row>
    <row r="1070" spans="20:20" hidden="1">
      <c r="T1070" s="23"/>
    </row>
    <row r="1071" spans="20:20" hidden="1">
      <c r="T1071" s="23"/>
    </row>
    <row r="1072" spans="20:20" hidden="1">
      <c r="T1072" s="23"/>
    </row>
    <row r="1073" spans="20:20" hidden="1">
      <c r="T1073" s="23"/>
    </row>
    <row r="1074" spans="20:20" hidden="1">
      <c r="T1074" s="23"/>
    </row>
    <row r="1075" spans="20:20" hidden="1">
      <c r="T1075" s="23"/>
    </row>
    <row r="1076" spans="20:20" hidden="1">
      <c r="T1076" s="23"/>
    </row>
    <row r="1077" spans="20:20" hidden="1">
      <c r="T1077" s="23"/>
    </row>
    <row r="1078" spans="20:20" hidden="1">
      <c r="T1078" s="23"/>
    </row>
    <row r="1079" spans="20:20" hidden="1">
      <c r="T1079" s="23"/>
    </row>
    <row r="1080" spans="20:20" hidden="1">
      <c r="T1080" s="23"/>
    </row>
    <row r="1081" spans="20:20" hidden="1">
      <c r="T1081" s="23"/>
    </row>
    <row r="1082" spans="20:20" hidden="1">
      <c r="T1082" s="23"/>
    </row>
    <row r="1083" spans="20:20" hidden="1">
      <c r="T1083" s="23"/>
    </row>
    <row r="1084" spans="20:20" hidden="1">
      <c r="T1084" s="23"/>
    </row>
    <row r="1085" spans="20:20" hidden="1">
      <c r="T1085" s="23"/>
    </row>
    <row r="1086" spans="20:20" hidden="1">
      <c r="T1086" s="23"/>
    </row>
    <row r="1087" spans="20:20" hidden="1">
      <c r="T1087" s="23"/>
    </row>
    <row r="1088" spans="20:20" hidden="1">
      <c r="T1088" s="23"/>
    </row>
    <row r="1089" spans="20:20" hidden="1">
      <c r="T1089" s="23"/>
    </row>
    <row r="1090" spans="20:20" hidden="1">
      <c r="T1090" s="23"/>
    </row>
    <row r="1091" spans="20:20" hidden="1">
      <c r="T1091" s="23"/>
    </row>
    <row r="1092" spans="20:20" hidden="1">
      <c r="T1092" s="23"/>
    </row>
    <row r="1093" spans="20:20" hidden="1">
      <c r="T1093" s="23"/>
    </row>
    <row r="1094" spans="20:20" hidden="1">
      <c r="T1094" s="23"/>
    </row>
    <row r="1095" spans="20:20" hidden="1">
      <c r="T1095" s="23"/>
    </row>
    <row r="1096" spans="20:20" hidden="1">
      <c r="T1096" s="23"/>
    </row>
    <row r="1097" spans="20:20" hidden="1">
      <c r="T1097" s="23"/>
    </row>
    <row r="1098" spans="20:20" hidden="1">
      <c r="T1098" s="23"/>
    </row>
    <row r="1099" spans="20:20" hidden="1">
      <c r="T1099" s="23"/>
    </row>
    <row r="1100" spans="20:20" hidden="1">
      <c r="T1100" s="23"/>
    </row>
    <row r="1101" spans="20:20" hidden="1">
      <c r="T1101" s="23"/>
    </row>
    <row r="1102" spans="20:20" hidden="1">
      <c r="T1102" s="23"/>
    </row>
    <row r="1103" spans="20:20" hidden="1">
      <c r="T1103" s="23"/>
    </row>
    <row r="1104" spans="20:20" hidden="1">
      <c r="T1104" s="23"/>
    </row>
    <row r="1105" spans="20:20" hidden="1">
      <c r="T1105" s="23"/>
    </row>
    <row r="1106" spans="20:20" hidden="1">
      <c r="T1106" s="23"/>
    </row>
    <row r="1107" spans="20:20" hidden="1">
      <c r="T1107" s="23"/>
    </row>
    <row r="1108" spans="20:20" hidden="1">
      <c r="T1108" s="23"/>
    </row>
    <row r="1109" spans="20:20" hidden="1">
      <c r="T1109" s="23"/>
    </row>
    <row r="1110" spans="20:20" hidden="1">
      <c r="T1110" s="23"/>
    </row>
    <row r="1111" spans="20:20" hidden="1">
      <c r="T1111" s="23"/>
    </row>
    <row r="1112" spans="20:20" hidden="1">
      <c r="T1112" s="23"/>
    </row>
    <row r="1113" spans="20:20" hidden="1">
      <c r="T1113" s="23"/>
    </row>
    <row r="1114" spans="20:20" hidden="1">
      <c r="T1114" s="23"/>
    </row>
    <row r="1115" spans="20:20" hidden="1">
      <c r="T1115" s="23"/>
    </row>
    <row r="1116" spans="20:20" hidden="1">
      <c r="T1116" s="23"/>
    </row>
    <row r="1117" spans="20:20" hidden="1">
      <c r="T1117" s="23"/>
    </row>
    <row r="1118" spans="20:20" hidden="1">
      <c r="T1118" s="23"/>
    </row>
    <row r="1119" spans="20:20" hidden="1">
      <c r="T1119" s="23"/>
    </row>
    <row r="1120" spans="20:20" hidden="1">
      <c r="T1120" s="23"/>
    </row>
    <row r="1121" spans="20:20" hidden="1">
      <c r="T1121" s="23"/>
    </row>
    <row r="1122" spans="20:20" hidden="1">
      <c r="T1122" s="23"/>
    </row>
    <row r="1123" spans="20:20" hidden="1">
      <c r="T1123" s="23"/>
    </row>
    <row r="1124" spans="20:20" hidden="1">
      <c r="T1124" s="23"/>
    </row>
    <row r="1125" spans="20:20" hidden="1">
      <c r="T1125" s="23"/>
    </row>
    <row r="1126" spans="20:20" hidden="1">
      <c r="T1126" s="23"/>
    </row>
    <row r="1127" spans="20:20" hidden="1">
      <c r="T1127" s="23"/>
    </row>
    <row r="1128" spans="20:20" hidden="1">
      <c r="T1128" s="23"/>
    </row>
    <row r="1129" spans="20:20" hidden="1">
      <c r="T1129" s="23"/>
    </row>
    <row r="1130" spans="20:20" hidden="1">
      <c r="T1130" s="23"/>
    </row>
    <row r="1131" spans="20:20" hidden="1">
      <c r="T1131" s="23"/>
    </row>
    <row r="1132" spans="20:20" hidden="1">
      <c r="T1132" s="23"/>
    </row>
    <row r="1133" spans="20:20" hidden="1">
      <c r="T1133" s="23"/>
    </row>
    <row r="1134" spans="20:20" hidden="1">
      <c r="T1134" s="23"/>
    </row>
    <row r="1135" spans="20:20" hidden="1">
      <c r="T1135" s="23"/>
    </row>
    <row r="1136" spans="20:20" hidden="1">
      <c r="T1136" s="23"/>
    </row>
    <row r="1137" spans="20:20" hidden="1">
      <c r="T1137" s="23"/>
    </row>
    <row r="1138" spans="20:20" hidden="1">
      <c r="T1138" s="23"/>
    </row>
    <row r="1139" spans="20:20" hidden="1">
      <c r="T1139" s="23"/>
    </row>
    <row r="1140" spans="20:20" hidden="1">
      <c r="T1140" s="23"/>
    </row>
    <row r="1141" spans="20:20" hidden="1">
      <c r="T1141" s="23"/>
    </row>
    <row r="1142" spans="20:20" hidden="1">
      <c r="T1142" s="23"/>
    </row>
    <row r="1143" spans="20:20" hidden="1">
      <c r="T1143" s="23"/>
    </row>
    <row r="1144" spans="20:20" hidden="1">
      <c r="T1144" s="23"/>
    </row>
    <row r="1145" spans="20:20" hidden="1">
      <c r="T1145" s="23"/>
    </row>
    <row r="1146" spans="20:20" hidden="1">
      <c r="T1146" s="23"/>
    </row>
    <row r="1147" spans="20:20" hidden="1">
      <c r="T1147" s="23"/>
    </row>
    <row r="1148" spans="20:20" hidden="1">
      <c r="T1148" s="23"/>
    </row>
    <row r="1149" spans="20:20" hidden="1">
      <c r="T1149" s="23"/>
    </row>
    <row r="1150" spans="20:20" hidden="1">
      <c r="T1150" s="23"/>
    </row>
    <row r="1151" spans="20:20" hidden="1">
      <c r="T1151" s="23"/>
    </row>
    <row r="1152" spans="20:20" hidden="1">
      <c r="T1152" s="23"/>
    </row>
    <row r="1153" spans="20:20" hidden="1">
      <c r="T1153" s="23"/>
    </row>
    <row r="1154" spans="20:20" hidden="1">
      <c r="T1154" s="23"/>
    </row>
    <row r="1155" spans="20:20" hidden="1">
      <c r="T1155" s="23"/>
    </row>
    <row r="1156" spans="20:20" hidden="1">
      <c r="T1156" s="23"/>
    </row>
    <row r="1157" spans="20:20" hidden="1">
      <c r="T1157" s="23"/>
    </row>
    <row r="1158" spans="20:20" hidden="1">
      <c r="T1158" s="23"/>
    </row>
    <row r="1159" spans="20:20" hidden="1">
      <c r="T1159" s="23"/>
    </row>
    <row r="1160" spans="20:20" hidden="1">
      <c r="T1160" s="23"/>
    </row>
    <row r="1161" spans="20:20" hidden="1">
      <c r="T1161" s="23"/>
    </row>
    <row r="1162" spans="20:20" hidden="1">
      <c r="T1162" s="23"/>
    </row>
    <row r="1163" spans="20:20" hidden="1">
      <c r="T1163" s="23"/>
    </row>
    <row r="1164" spans="20:20" hidden="1">
      <c r="T1164" s="23"/>
    </row>
    <row r="1165" spans="20:20" hidden="1">
      <c r="T1165" s="23"/>
    </row>
    <row r="1166" spans="20:20" hidden="1">
      <c r="T1166" s="23"/>
    </row>
    <row r="1167" spans="20:20" hidden="1">
      <c r="T1167" s="23"/>
    </row>
    <row r="1168" spans="20:20" hidden="1">
      <c r="T1168" s="23"/>
    </row>
    <row r="1169" spans="20:20" hidden="1">
      <c r="T1169" s="23"/>
    </row>
    <row r="1170" spans="20:20" hidden="1">
      <c r="T1170" s="23"/>
    </row>
    <row r="1171" spans="20:20" hidden="1">
      <c r="T1171" s="23"/>
    </row>
    <row r="1172" spans="20:20" hidden="1">
      <c r="T1172" s="23"/>
    </row>
    <row r="1173" spans="20:20" hidden="1">
      <c r="T1173" s="23"/>
    </row>
    <row r="1174" spans="20:20" hidden="1">
      <c r="T1174" s="23"/>
    </row>
    <row r="1175" spans="20:20" hidden="1">
      <c r="T1175" s="23"/>
    </row>
    <row r="1176" spans="20:20" hidden="1">
      <c r="T1176" s="23"/>
    </row>
    <row r="1177" spans="20:20" hidden="1">
      <c r="T1177" s="23"/>
    </row>
    <row r="1178" spans="20:20" hidden="1">
      <c r="T1178" s="23"/>
    </row>
    <row r="1179" spans="20:20" hidden="1">
      <c r="T1179" s="23"/>
    </row>
    <row r="1180" spans="20:20" hidden="1">
      <c r="T1180" s="23"/>
    </row>
    <row r="1181" spans="20:20" hidden="1">
      <c r="T1181" s="23"/>
    </row>
    <row r="1182" spans="20:20" hidden="1">
      <c r="T1182" s="23"/>
    </row>
    <row r="1183" spans="20:20" hidden="1">
      <c r="T1183" s="23"/>
    </row>
    <row r="1184" spans="20:20" hidden="1">
      <c r="T1184" s="23"/>
    </row>
    <row r="1185" spans="20:20" hidden="1">
      <c r="T1185" s="23"/>
    </row>
    <row r="1186" spans="20:20" hidden="1">
      <c r="T1186" s="23"/>
    </row>
    <row r="1187" spans="20:20" hidden="1">
      <c r="T1187" s="23"/>
    </row>
    <row r="1188" spans="20:20" hidden="1">
      <c r="T1188" s="23"/>
    </row>
    <row r="1189" spans="20:20" hidden="1">
      <c r="T1189" s="23"/>
    </row>
    <row r="1190" spans="20:20" hidden="1">
      <c r="T1190" s="23"/>
    </row>
    <row r="1191" spans="20:20" hidden="1">
      <c r="T1191" s="23"/>
    </row>
    <row r="1192" spans="20:20" hidden="1">
      <c r="T1192" s="23"/>
    </row>
    <row r="1193" spans="20:20" hidden="1">
      <c r="T1193" s="23"/>
    </row>
    <row r="1194" spans="20:20" hidden="1">
      <c r="T1194" s="23"/>
    </row>
    <row r="1195" spans="20:20" hidden="1">
      <c r="T1195" s="23"/>
    </row>
    <row r="1196" spans="20:20" hidden="1">
      <c r="T1196" s="23"/>
    </row>
    <row r="1197" spans="20:20" hidden="1">
      <c r="T1197" s="23"/>
    </row>
    <row r="1198" spans="20:20" hidden="1">
      <c r="T1198" s="23"/>
    </row>
    <row r="1199" spans="20:20" hidden="1">
      <c r="T1199" s="23"/>
    </row>
    <row r="1200" spans="20:20" hidden="1">
      <c r="T1200" s="23"/>
    </row>
    <row r="1201" spans="20:20" hidden="1">
      <c r="T1201" s="23"/>
    </row>
    <row r="1202" spans="20:20" hidden="1">
      <c r="T1202" s="23"/>
    </row>
    <row r="1203" spans="20:20" hidden="1">
      <c r="T1203" s="23"/>
    </row>
    <row r="1204" spans="20:20" hidden="1">
      <c r="T1204" s="23"/>
    </row>
    <row r="1205" spans="20:20" hidden="1">
      <c r="T1205" s="23"/>
    </row>
    <row r="1206" spans="20:20" hidden="1">
      <c r="T1206" s="23"/>
    </row>
    <row r="1207" spans="20:20" hidden="1">
      <c r="T1207" s="23"/>
    </row>
    <row r="1208" spans="20:20" hidden="1">
      <c r="T1208" s="23"/>
    </row>
    <row r="1209" spans="20:20" hidden="1">
      <c r="T1209" s="23"/>
    </row>
    <row r="1210" spans="20:20" hidden="1">
      <c r="T1210" s="23"/>
    </row>
    <row r="1211" spans="20:20" hidden="1">
      <c r="T1211" s="23"/>
    </row>
    <row r="1212" spans="20:20" hidden="1">
      <c r="T1212" s="23"/>
    </row>
    <row r="1213" spans="20:20" hidden="1">
      <c r="T1213" s="23"/>
    </row>
    <row r="1214" spans="20:20" hidden="1">
      <c r="T1214" s="23"/>
    </row>
    <row r="1215" spans="20:20" hidden="1">
      <c r="T1215" s="23"/>
    </row>
    <row r="1216" spans="20:20" hidden="1">
      <c r="T1216" s="23"/>
    </row>
    <row r="1217" spans="20:20" hidden="1">
      <c r="T1217" s="23"/>
    </row>
    <row r="1218" spans="20:20" hidden="1">
      <c r="T1218" s="23"/>
    </row>
    <row r="1219" spans="20:20" hidden="1">
      <c r="T1219" s="23"/>
    </row>
    <row r="1220" spans="20:20" hidden="1">
      <c r="T1220" s="23"/>
    </row>
    <row r="1221" spans="20:20" hidden="1">
      <c r="T1221" s="23"/>
    </row>
    <row r="1222" spans="20:20" hidden="1">
      <c r="T1222" s="23"/>
    </row>
    <row r="1223" spans="20:20" hidden="1">
      <c r="T1223" s="23"/>
    </row>
    <row r="1224" spans="20:20" hidden="1">
      <c r="T1224" s="23"/>
    </row>
    <row r="1225" spans="20:20" hidden="1">
      <c r="T1225" s="23"/>
    </row>
    <row r="1226" spans="20:20" hidden="1">
      <c r="T1226" s="23"/>
    </row>
    <row r="1227" spans="20:20" hidden="1">
      <c r="T1227" s="23"/>
    </row>
    <row r="1228" spans="20:20" hidden="1">
      <c r="T1228" s="23"/>
    </row>
    <row r="1229" spans="20:20" hidden="1">
      <c r="T1229" s="23"/>
    </row>
    <row r="1230" spans="20:20" hidden="1">
      <c r="T1230" s="23"/>
    </row>
    <row r="1231" spans="20:20" hidden="1">
      <c r="T1231" s="23"/>
    </row>
    <row r="1232" spans="20:20" hidden="1">
      <c r="T1232" s="23"/>
    </row>
    <row r="1233" spans="20:20" hidden="1">
      <c r="T1233" s="23"/>
    </row>
    <row r="1234" spans="20:20" hidden="1">
      <c r="T1234" s="23"/>
    </row>
    <row r="1235" spans="20:20" hidden="1">
      <c r="T1235" s="23"/>
    </row>
    <row r="1236" spans="20:20" hidden="1">
      <c r="T1236" s="23"/>
    </row>
    <row r="1237" spans="20:20" hidden="1">
      <c r="T1237" s="23"/>
    </row>
    <row r="1238" spans="20:20" hidden="1">
      <c r="T1238" s="23"/>
    </row>
    <row r="1239" spans="20:20" hidden="1">
      <c r="T1239" s="23"/>
    </row>
    <row r="1240" spans="20:20" hidden="1">
      <c r="T1240" s="23"/>
    </row>
    <row r="1241" spans="20:20" hidden="1">
      <c r="T1241" s="23"/>
    </row>
    <row r="1242" spans="20:20" hidden="1">
      <c r="T1242" s="23"/>
    </row>
    <row r="1243" spans="20:20" hidden="1">
      <c r="T1243" s="23"/>
    </row>
    <row r="1244" spans="20:20" hidden="1">
      <c r="T1244" s="23"/>
    </row>
    <row r="1245" spans="20:20" hidden="1">
      <c r="T1245" s="23"/>
    </row>
    <row r="1246" spans="20:20" hidden="1">
      <c r="T1246" s="23"/>
    </row>
    <row r="1247" spans="20:20" hidden="1">
      <c r="T1247" s="23"/>
    </row>
    <row r="1248" spans="20:20" hidden="1">
      <c r="T1248" s="23"/>
    </row>
    <row r="1249" spans="20:20" hidden="1">
      <c r="T1249" s="23"/>
    </row>
    <row r="1250" spans="20:20" hidden="1">
      <c r="T1250" s="23"/>
    </row>
    <row r="1251" spans="20:20" hidden="1">
      <c r="T1251" s="23"/>
    </row>
    <row r="1252" spans="20:20" hidden="1">
      <c r="T1252" s="23"/>
    </row>
    <row r="1253" spans="20:20" hidden="1">
      <c r="T1253" s="23"/>
    </row>
    <row r="1254" spans="20:20" hidden="1">
      <c r="T1254" s="23"/>
    </row>
    <row r="1255" spans="20:20" hidden="1">
      <c r="T1255" s="23"/>
    </row>
    <row r="1256" spans="20:20" hidden="1">
      <c r="T1256" s="23"/>
    </row>
    <row r="1257" spans="20:20" hidden="1">
      <c r="T1257" s="23"/>
    </row>
    <row r="1258" spans="20:20" hidden="1">
      <c r="T1258" s="23"/>
    </row>
    <row r="1259" spans="20:20" hidden="1">
      <c r="T1259" s="23"/>
    </row>
    <row r="1260" spans="20:20" hidden="1">
      <c r="T1260" s="23"/>
    </row>
    <row r="1261" spans="20:20" hidden="1">
      <c r="T1261" s="23"/>
    </row>
    <row r="1262" spans="20:20" hidden="1">
      <c r="T1262" s="23"/>
    </row>
    <row r="1263" spans="20:20" hidden="1">
      <c r="T1263" s="23"/>
    </row>
    <row r="1264" spans="20:20" hidden="1">
      <c r="T1264" s="23"/>
    </row>
    <row r="1265" spans="20:20" hidden="1">
      <c r="T1265" s="23"/>
    </row>
    <row r="1266" spans="20:20" hidden="1">
      <c r="T1266" s="23"/>
    </row>
    <row r="1267" spans="20:20" hidden="1">
      <c r="T1267" s="23"/>
    </row>
    <row r="1268" spans="20:20" hidden="1">
      <c r="T1268" s="23"/>
    </row>
    <row r="1269" spans="20:20" hidden="1">
      <c r="T1269" s="23"/>
    </row>
    <row r="1270" spans="20:20" hidden="1">
      <c r="T1270" s="23"/>
    </row>
    <row r="1271" spans="20:20" hidden="1">
      <c r="T1271" s="23"/>
    </row>
    <row r="1272" spans="20:20" hidden="1">
      <c r="T1272" s="23"/>
    </row>
    <row r="1273" spans="20:20" hidden="1">
      <c r="T1273" s="23"/>
    </row>
    <row r="1274" spans="20:20" hidden="1">
      <c r="T1274" s="23"/>
    </row>
    <row r="1275" spans="20:20" hidden="1">
      <c r="T1275" s="23"/>
    </row>
    <row r="1276" spans="20:20" hidden="1">
      <c r="T1276" s="23"/>
    </row>
    <row r="1277" spans="20:20" hidden="1">
      <c r="T1277" s="23"/>
    </row>
    <row r="1278" spans="20:20" hidden="1">
      <c r="T1278" s="23"/>
    </row>
    <row r="1279" spans="20:20" hidden="1">
      <c r="T1279" s="23"/>
    </row>
    <row r="1280" spans="20:20" hidden="1">
      <c r="T1280" s="23"/>
    </row>
    <row r="1281" spans="20:20" hidden="1">
      <c r="T1281" s="23"/>
    </row>
    <row r="1282" spans="20:20" hidden="1">
      <c r="T1282" s="23"/>
    </row>
    <row r="1283" spans="20:20" hidden="1">
      <c r="T1283" s="23"/>
    </row>
    <row r="1284" spans="20:20" hidden="1">
      <c r="T1284" s="23"/>
    </row>
    <row r="1285" spans="20:20" hidden="1">
      <c r="T1285" s="23"/>
    </row>
    <row r="1286" spans="20:20" hidden="1">
      <c r="T1286" s="23"/>
    </row>
    <row r="1287" spans="20:20" hidden="1">
      <c r="T1287" s="23"/>
    </row>
    <row r="1288" spans="20:20" hidden="1">
      <c r="T1288" s="23"/>
    </row>
    <row r="1289" spans="20:20" hidden="1">
      <c r="T1289" s="23"/>
    </row>
    <row r="1290" spans="20:20" hidden="1">
      <c r="T1290" s="23"/>
    </row>
    <row r="1291" spans="20:20" hidden="1">
      <c r="T1291" s="23"/>
    </row>
    <row r="1292" spans="20:20" hidden="1">
      <c r="T1292" s="23"/>
    </row>
    <row r="1293" spans="20:20" hidden="1">
      <c r="T1293" s="23"/>
    </row>
    <row r="1294" spans="20:20" hidden="1">
      <c r="T1294" s="23"/>
    </row>
    <row r="1295" spans="20:20" hidden="1">
      <c r="T1295" s="23"/>
    </row>
    <row r="1296" spans="20:20" hidden="1">
      <c r="T1296" s="23"/>
    </row>
    <row r="1297" spans="20:20" hidden="1">
      <c r="T1297" s="23"/>
    </row>
    <row r="1298" spans="20:20" hidden="1">
      <c r="T1298" s="23"/>
    </row>
    <row r="1299" spans="20:20" hidden="1">
      <c r="T1299" s="23"/>
    </row>
    <row r="1300" spans="20:20" hidden="1">
      <c r="T1300" s="23"/>
    </row>
    <row r="1301" spans="20:20" hidden="1">
      <c r="T1301" s="23"/>
    </row>
    <row r="1302" spans="20:20" hidden="1">
      <c r="T1302" s="23"/>
    </row>
    <row r="1303" spans="20:20" hidden="1">
      <c r="T1303" s="23"/>
    </row>
    <row r="1304" spans="20:20" hidden="1">
      <c r="T1304" s="23"/>
    </row>
    <row r="1305" spans="20:20" hidden="1">
      <c r="T1305" s="23"/>
    </row>
    <row r="1306" spans="20:20" hidden="1">
      <c r="T1306" s="23"/>
    </row>
    <row r="1307" spans="20:20" hidden="1">
      <c r="T1307" s="23"/>
    </row>
    <row r="1308" spans="20:20" hidden="1">
      <c r="T1308" s="23"/>
    </row>
    <row r="1309" spans="20:20" hidden="1">
      <c r="T1309" s="23"/>
    </row>
    <row r="1310" spans="20:20" hidden="1">
      <c r="T1310" s="23"/>
    </row>
    <row r="1311" spans="20:20" hidden="1">
      <c r="T1311" s="23"/>
    </row>
    <row r="1312" spans="20:20" hidden="1">
      <c r="T1312" s="23"/>
    </row>
    <row r="1313" spans="20:20" hidden="1">
      <c r="T1313" s="23"/>
    </row>
    <row r="1314" spans="20:20" hidden="1">
      <c r="T1314" s="23"/>
    </row>
    <row r="1315" spans="20:20" hidden="1">
      <c r="T1315" s="23"/>
    </row>
    <row r="1316" spans="20:20" hidden="1">
      <c r="T1316" s="23"/>
    </row>
    <row r="1317" spans="20:20" hidden="1">
      <c r="T1317" s="23"/>
    </row>
    <row r="1318" spans="20:20" hidden="1">
      <c r="T1318" s="23"/>
    </row>
    <row r="1319" spans="20:20" hidden="1">
      <c r="T1319" s="23"/>
    </row>
    <row r="1320" spans="20:20" hidden="1">
      <c r="T1320" s="23"/>
    </row>
    <row r="1321" spans="20:20" hidden="1">
      <c r="T1321" s="23"/>
    </row>
    <row r="1322" spans="20:20" hidden="1">
      <c r="T1322" s="23"/>
    </row>
    <row r="1323" spans="20:20" hidden="1">
      <c r="T1323" s="23"/>
    </row>
    <row r="1324" spans="20:20" hidden="1">
      <c r="T1324" s="23"/>
    </row>
    <row r="1325" spans="20:20" hidden="1">
      <c r="T1325" s="23"/>
    </row>
    <row r="1326" spans="20:20" hidden="1">
      <c r="T1326" s="23"/>
    </row>
    <row r="1327" spans="20:20" hidden="1">
      <c r="T1327" s="23"/>
    </row>
    <row r="1328" spans="20:20" hidden="1">
      <c r="T1328" s="23"/>
    </row>
    <row r="1329" spans="20:20" hidden="1">
      <c r="T1329" s="23"/>
    </row>
    <row r="1330" spans="20:20" hidden="1">
      <c r="T1330" s="23"/>
    </row>
    <row r="1331" spans="20:20" hidden="1">
      <c r="T1331" s="23"/>
    </row>
    <row r="1332" spans="20:20" hidden="1">
      <c r="T1332" s="23"/>
    </row>
    <row r="1333" spans="20:20" hidden="1">
      <c r="T1333" s="23"/>
    </row>
    <row r="1334" spans="20:20" hidden="1">
      <c r="T1334" s="23"/>
    </row>
    <row r="1335" spans="20:20" hidden="1">
      <c r="T1335" s="23"/>
    </row>
    <row r="1336" spans="20:20" hidden="1">
      <c r="T1336" s="23"/>
    </row>
    <row r="1337" spans="20:20" hidden="1">
      <c r="T1337" s="23"/>
    </row>
    <row r="1338" spans="20:20" hidden="1">
      <c r="T1338" s="23"/>
    </row>
    <row r="1339" spans="20:20" hidden="1">
      <c r="T1339" s="23"/>
    </row>
    <row r="1340" spans="20:20" hidden="1">
      <c r="T1340" s="23"/>
    </row>
    <row r="1341" spans="20:20" hidden="1">
      <c r="T1341" s="23"/>
    </row>
    <row r="1342" spans="20:20" hidden="1">
      <c r="T1342" s="23"/>
    </row>
    <row r="1343" spans="20:20" hidden="1">
      <c r="T1343" s="23"/>
    </row>
    <row r="1344" spans="20:20" hidden="1">
      <c r="T1344" s="23"/>
    </row>
    <row r="1345" spans="20:20" hidden="1">
      <c r="T1345" s="23"/>
    </row>
    <row r="1346" spans="20:20" hidden="1">
      <c r="T1346" s="23"/>
    </row>
    <row r="1347" spans="20:20" hidden="1">
      <c r="T1347" s="23"/>
    </row>
    <row r="1348" spans="20:20" hidden="1">
      <c r="T1348" s="23"/>
    </row>
    <row r="1349" spans="20:20" hidden="1">
      <c r="T1349" s="23"/>
    </row>
    <row r="1350" spans="20:20" hidden="1">
      <c r="T1350" s="23"/>
    </row>
    <row r="1351" spans="20:20" hidden="1">
      <c r="T1351" s="23"/>
    </row>
    <row r="1352" spans="20:20" hidden="1">
      <c r="T1352" s="23"/>
    </row>
    <row r="1353" spans="20:20" hidden="1">
      <c r="T1353" s="23"/>
    </row>
    <row r="1354" spans="20:20" hidden="1">
      <c r="T1354" s="23"/>
    </row>
    <row r="1355" spans="20:20" hidden="1">
      <c r="T1355" s="23"/>
    </row>
    <row r="1356" spans="20:20" hidden="1">
      <c r="T1356" s="23"/>
    </row>
    <row r="1357" spans="20:20" hidden="1">
      <c r="T1357" s="23"/>
    </row>
    <row r="1358" spans="20:20" hidden="1">
      <c r="T1358" s="23"/>
    </row>
    <row r="1359" spans="20:20" hidden="1">
      <c r="T1359" s="23"/>
    </row>
    <row r="1360" spans="20:20" hidden="1">
      <c r="T1360" s="23"/>
    </row>
    <row r="1361" spans="20:20" hidden="1">
      <c r="T1361" s="23"/>
    </row>
    <row r="1362" spans="20:20" hidden="1">
      <c r="T1362" s="23"/>
    </row>
    <row r="1363" spans="20:20" hidden="1">
      <c r="T1363" s="23"/>
    </row>
    <row r="1364" spans="20:20" hidden="1">
      <c r="T1364" s="23"/>
    </row>
    <row r="1365" spans="20:20" hidden="1">
      <c r="T1365" s="23"/>
    </row>
    <row r="1366" spans="20:20" hidden="1">
      <c r="T1366" s="23"/>
    </row>
    <row r="1367" spans="20:20" hidden="1">
      <c r="T1367" s="23"/>
    </row>
    <row r="1368" spans="20:20" hidden="1">
      <c r="T1368" s="23"/>
    </row>
    <row r="1369" spans="20:20" hidden="1">
      <c r="T1369" s="23"/>
    </row>
    <row r="1370" spans="20:20" hidden="1">
      <c r="T1370" s="23"/>
    </row>
    <row r="1371" spans="20:20" hidden="1">
      <c r="T1371" s="23"/>
    </row>
    <row r="1372" spans="20:20" hidden="1">
      <c r="T1372" s="23"/>
    </row>
    <row r="1373" spans="20:20" hidden="1">
      <c r="T1373" s="23"/>
    </row>
    <row r="1374" spans="20:20" hidden="1">
      <c r="T1374" s="23"/>
    </row>
    <row r="1375" spans="20:20" hidden="1">
      <c r="T1375" s="23"/>
    </row>
    <row r="1376" spans="20:20" hidden="1">
      <c r="T1376" s="23"/>
    </row>
    <row r="1377" spans="20:20" hidden="1">
      <c r="T1377" s="23"/>
    </row>
    <row r="1378" spans="20:20" hidden="1">
      <c r="T1378" s="23"/>
    </row>
    <row r="1379" spans="20:20" hidden="1">
      <c r="T1379" s="23"/>
    </row>
    <row r="1380" spans="20:20" hidden="1">
      <c r="T1380" s="23"/>
    </row>
    <row r="1381" spans="20:20" hidden="1">
      <c r="T1381" s="23"/>
    </row>
    <row r="1382" spans="20:20" hidden="1">
      <c r="T1382" s="23"/>
    </row>
    <row r="1383" spans="20:20" hidden="1">
      <c r="T1383" s="23"/>
    </row>
    <row r="1384" spans="20:20" hidden="1">
      <c r="T1384" s="23"/>
    </row>
    <row r="1385" spans="20:20" hidden="1">
      <c r="T1385" s="23"/>
    </row>
    <row r="1386" spans="20:20" hidden="1">
      <c r="T1386" s="23"/>
    </row>
    <row r="1387" spans="20:20" hidden="1">
      <c r="T1387" s="23"/>
    </row>
    <row r="1388" spans="20:20" hidden="1">
      <c r="T1388" s="23"/>
    </row>
    <row r="1389" spans="20:20" hidden="1">
      <c r="T1389" s="23"/>
    </row>
    <row r="1390" spans="20:20" hidden="1">
      <c r="T1390" s="23"/>
    </row>
    <row r="1391" spans="20:20" hidden="1">
      <c r="T1391" s="23"/>
    </row>
    <row r="1392" spans="20:20" hidden="1">
      <c r="T1392" s="23"/>
    </row>
    <row r="1393" spans="20:20" hidden="1">
      <c r="T1393" s="23"/>
    </row>
    <row r="1394" spans="20:20" hidden="1">
      <c r="T1394" s="23"/>
    </row>
    <row r="1395" spans="20:20" hidden="1">
      <c r="T1395" s="23"/>
    </row>
    <row r="1396" spans="20:20" hidden="1">
      <c r="T1396" s="23"/>
    </row>
    <row r="1397" spans="20:20" hidden="1">
      <c r="T1397" s="23"/>
    </row>
    <row r="1398" spans="20:20" hidden="1">
      <c r="T1398" s="23"/>
    </row>
    <row r="1399" spans="20:20" hidden="1">
      <c r="T1399" s="23"/>
    </row>
    <row r="1400" spans="20:20" hidden="1">
      <c r="T1400" s="23"/>
    </row>
    <row r="1401" spans="20:20" hidden="1">
      <c r="T1401" s="23"/>
    </row>
    <row r="1402" spans="20:20" hidden="1">
      <c r="T1402" s="23"/>
    </row>
    <row r="1403" spans="20:20" hidden="1">
      <c r="T1403" s="23"/>
    </row>
    <row r="1404" spans="20:20" hidden="1">
      <c r="T1404" s="23"/>
    </row>
    <row r="1405" spans="20:20" hidden="1">
      <c r="T1405" s="23"/>
    </row>
    <row r="1406" spans="20:20" hidden="1">
      <c r="T1406" s="23"/>
    </row>
    <row r="1407" spans="20:20" hidden="1">
      <c r="T1407" s="23"/>
    </row>
    <row r="1408" spans="20:20" hidden="1">
      <c r="T1408" s="23"/>
    </row>
    <row r="1409" spans="20:20" hidden="1">
      <c r="T1409" s="23"/>
    </row>
    <row r="1410" spans="20:20" hidden="1">
      <c r="T1410" s="23"/>
    </row>
    <row r="1411" spans="20:20" hidden="1">
      <c r="T1411" s="23"/>
    </row>
    <row r="1412" spans="20:20" hidden="1">
      <c r="T1412" s="23"/>
    </row>
    <row r="1413" spans="20:20" hidden="1">
      <c r="T1413" s="23"/>
    </row>
    <row r="1414" spans="20:20" hidden="1">
      <c r="T1414" s="23"/>
    </row>
    <row r="1415" spans="20:20" hidden="1">
      <c r="T1415" s="23"/>
    </row>
    <row r="1416" spans="20:20" hidden="1">
      <c r="T1416" s="23"/>
    </row>
    <row r="1417" spans="20:20" hidden="1">
      <c r="T1417" s="23"/>
    </row>
    <row r="1418" spans="20:20" hidden="1">
      <c r="T1418" s="23"/>
    </row>
    <row r="1419" spans="20:20" hidden="1">
      <c r="T1419" s="23"/>
    </row>
    <row r="1420" spans="20:20" hidden="1">
      <c r="T1420" s="23"/>
    </row>
    <row r="1421" spans="20:20" hidden="1">
      <c r="T1421" s="23"/>
    </row>
    <row r="1422" spans="20:20" hidden="1">
      <c r="T1422" s="23"/>
    </row>
    <row r="1423" spans="20:20" hidden="1">
      <c r="T1423" s="23"/>
    </row>
    <row r="1424" spans="20:20" hidden="1">
      <c r="T1424" s="23"/>
    </row>
    <row r="1425" spans="20:20" hidden="1">
      <c r="T1425" s="23"/>
    </row>
    <row r="1426" spans="20:20" hidden="1">
      <c r="T1426" s="23"/>
    </row>
    <row r="1427" spans="20:20" hidden="1">
      <c r="T1427" s="23"/>
    </row>
    <row r="1428" spans="20:20" hidden="1">
      <c r="T1428" s="23"/>
    </row>
    <row r="1429" spans="20:20" hidden="1">
      <c r="T1429" s="23"/>
    </row>
    <row r="1430" spans="20:20" hidden="1">
      <c r="T1430" s="23"/>
    </row>
    <row r="1431" spans="20:20" hidden="1">
      <c r="T1431" s="23"/>
    </row>
    <row r="1432" spans="20:20" hidden="1">
      <c r="T1432" s="23"/>
    </row>
    <row r="1433" spans="20:20" hidden="1">
      <c r="T1433" s="23"/>
    </row>
    <row r="1434" spans="20:20" hidden="1">
      <c r="T1434" s="23"/>
    </row>
    <row r="1435" spans="20:20" hidden="1">
      <c r="T1435" s="23"/>
    </row>
    <row r="1436" spans="20:20" hidden="1">
      <c r="T1436" s="23"/>
    </row>
    <row r="1437" spans="20:20" hidden="1">
      <c r="T1437" s="23"/>
    </row>
    <row r="1438" spans="20:20" hidden="1">
      <c r="T1438" s="23"/>
    </row>
    <row r="1439" spans="20:20" hidden="1">
      <c r="T1439" s="23"/>
    </row>
    <row r="1440" spans="20:20" hidden="1">
      <c r="T1440" s="23"/>
    </row>
    <row r="1441" spans="20:20" hidden="1">
      <c r="T1441" s="23"/>
    </row>
    <row r="1442" spans="20:20" hidden="1">
      <c r="T1442" s="23"/>
    </row>
    <row r="1443" spans="20:20" hidden="1">
      <c r="T1443" s="23"/>
    </row>
    <row r="1444" spans="20:20" hidden="1">
      <c r="T1444" s="23"/>
    </row>
    <row r="1445" spans="20:20" hidden="1">
      <c r="T1445" s="23"/>
    </row>
    <row r="1446" spans="20:20" hidden="1">
      <c r="T1446" s="23"/>
    </row>
    <row r="1447" spans="20:20" hidden="1">
      <c r="T1447" s="23"/>
    </row>
    <row r="1448" spans="20:20" hidden="1">
      <c r="T1448" s="23"/>
    </row>
    <row r="1449" spans="20:20" hidden="1">
      <c r="T1449" s="23"/>
    </row>
    <row r="1450" spans="20:20" hidden="1">
      <c r="T1450" s="23"/>
    </row>
    <row r="1451" spans="20:20" hidden="1">
      <c r="T1451" s="23"/>
    </row>
    <row r="1452" spans="20:20" hidden="1">
      <c r="T1452" s="23"/>
    </row>
    <row r="1453" spans="20:20" hidden="1">
      <c r="T1453" s="23"/>
    </row>
    <row r="1454" spans="20:20" hidden="1">
      <c r="T1454" s="23"/>
    </row>
    <row r="1455" spans="20:20" hidden="1">
      <c r="T1455" s="23"/>
    </row>
    <row r="1456" spans="20:20" hidden="1">
      <c r="T1456" s="23"/>
    </row>
    <row r="1457" spans="20:20" hidden="1">
      <c r="T1457" s="23"/>
    </row>
    <row r="1458" spans="20:20" hidden="1">
      <c r="T1458" s="23"/>
    </row>
    <row r="1459" spans="20:20" hidden="1">
      <c r="T1459" s="23"/>
    </row>
    <row r="1460" spans="20:20" hidden="1">
      <c r="T1460" s="23"/>
    </row>
    <row r="1461" spans="20:20" hidden="1">
      <c r="T1461" s="23"/>
    </row>
    <row r="1462" spans="20:20" hidden="1">
      <c r="T1462" s="23"/>
    </row>
    <row r="1463" spans="20:20" hidden="1">
      <c r="T1463" s="23"/>
    </row>
    <row r="1464" spans="20:20" hidden="1">
      <c r="T1464" s="23"/>
    </row>
    <row r="1465" spans="20:20" hidden="1">
      <c r="T1465" s="23"/>
    </row>
    <row r="1466" spans="20:20" hidden="1">
      <c r="T1466" s="23"/>
    </row>
    <row r="1467" spans="20:20" hidden="1">
      <c r="T1467" s="23"/>
    </row>
    <row r="1468" spans="20:20" hidden="1">
      <c r="T1468" s="23"/>
    </row>
    <row r="1469" spans="20:20" hidden="1">
      <c r="T1469" s="23"/>
    </row>
    <row r="1470" spans="20:20" hidden="1">
      <c r="T1470" s="23"/>
    </row>
    <row r="1471" spans="20:20" hidden="1">
      <c r="T1471" s="23"/>
    </row>
    <row r="1472" spans="20:20" hidden="1">
      <c r="T1472" s="23"/>
    </row>
    <row r="1473" spans="20:20" hidden="1">
      <c r="T1473" s="23"/>
    </row>
    <row r="1474" spans="20:20" hidden="1">
      <c r="T1474" s="23"/>
    </row>
    <row r="1475" spans="20:20" hidden="1">
      <c r="T1475" s="23"/>
    </row>
    <row r="1476" spans="20:20" hidden="1">
      <c r="T1476" s="23"/>
    </row>
    <row r="1477" spans="20:20" hidden="1">
      <c r="T1477" s="23"/>
    </row>
    <row r="1478" spans="20:20" hidden="1">
      <c r="T1478" s="23"/>
    </row>
    <row r="1479" spans="20:20" hidden="1">
      <c r="T1479" s="23"/>
    </row>
    <row r="1480" spans="20:20" hidden="1">
      <c r="T1480" s="23"/>
    </row>
    <row r="1481" spans="20:20" hidden="1">
      <c r="T1481" s="23"/>
    </row>
    <row r="1482" spans="20:20" hidden="1">
      <c r="T1482" s="23"/>
    </row>
    <row r="1483" spans="20:20" hidden="1">
      <c r="T1483" s="23"/>
    </row>
    <row r="1484" spans="20:20" hidden="1">
      <c r="T1484" s="23"/>
    </row>
    <row r="1485" spans="20:20" hidden="1">
      <c r="T1485" s="23"/>
    </row>
    <row r="1486" spans="20:20" hidden="1">
      <c r="T1486" s="23"/>
    </row>
    <row r="1487" spans="20:20" hidden="1">
      <c r="T1487" s="23"/>
    </row>
    <row r="1488" spans="20:20" hidden="1">
      <c r="T1488" s="23"/>
    </row>
    <row r="1489" spans="20:20" hidden="1">
      <c r="T1489" s="23"/>
    </row>
    <row r="1490" spans="20:20" hidden="1">
      <c r="T1490" s="23"/>
    </row>
    <row r="1491" spans="20:20" hidden="1">
      <c r="T1491" s="23"/>
    </row>
    <row r="1492" spans="20:20" hidden="1">
      <c r="T1492" s="23"/>
    </row>
    <row r="1493" spans="20:20" hidden="1">
      <c r="T1493" s="23"/>
    </row>
    <row r="1494" spans="20:20" hidden="1">
      <c r="T1494" s="23"/>
    </row>
    <row r="1495" spans="20:20" hidden="1">
      <c r="T1495" s="23"/>
    </row>
    <row r="1496" spans="20:20" hidden="1">
      <c r="T1496" s="23"/>
    </row>
    <row r="1497" spans="20:20" hidden="1">
      <c r="T1497" s="23"/>
    </row>
    <row r="1498" spans="20:20" hidden="1">
      <c r="T1498" s="23"/>
    </row>
    <row r="1499" spans="20:20" hidden="1">
      <c r="T1499" s="23"/>
    </row>
    <row r="1500" spans="20:20" hidden="1">
      <c r="T1500" s="23"/>
    </row>
    <row r="1501" spans="20:20" hidden="1">
      <c r="T1501" s="23"/>
    </row>
    <row r="1502" spans="20:20" hidden="1">
      <c r="T1502" s="23"/>
    </row>
    <row r="1503" spans="20:20" hidden="1">
      <c r="T1503" s="23"/>
    </row>
    <row r="1504" spans="20:20" hidden="1">
      <c r="T1504" s="23"/>
    </row>
    <row r="1505" spans="20:20" hidden="1">
      <c r="T1505" s="23"/>
    </row>
    <row r="1506" spans="20:20" hidden="1">
      <c r="T1506" s="23"/>
    </row>
    <row r="1507" spans="20:20" hidden="1">
      <c r="T1507" s="23"/>
    </row>
    <row r="1508" spans="20:20" hidden="1">
      <c r="T1508" s="23"/>
    </row>
    <row r="1509" spans="20:20" hidden="1">
      <c r="T1509" s="23"/>
    </row>
    <row r="1510" spans="20:20" hidden="1">
      <c r="T1510" s="23"/>
    </row>
    <row r="1511" spans="20:20" hidden="1">
      <c r="T1511" s="23"/>
    </row>
    <row r="1512" spans="20:20" hidden="1">
      <c r="T1512" s="23"/>
    </row>
    <row r="1513" spans="20:20" hidden="1">
      <c r="T1513" s="23"/>
    </row>
    <row r="1514" spans="20:20" hidden="1">
      <c r="T1514" s="23"/>
    </row>
    <row r="1515" spans="20:20" hidden="1">
      <c r="T1515" s="23"/>
    </row>
    <row r="1516" spans="20:20" hidden="1">
      <c r="T1516" s="23"/>
    </row>
    <row r="1517" spans="20:20" hidden="1">
      <c r="T1517" s="23"/>
    </row>
    <row r="1518" spans="20:20" hidden="1">
      <c r="T1518" s="23"/>
    </row>
    <row r="1519" spans="20:20" hidden="1">
      <c r="T1519" s="23"/>
    </row>
    <row r="1520" spans="20:20" hidden="1">
      <c r="T1520" s="23"/>
    </row>
    <row r="1521" spans="20:20" hidden="1">
      <c r="T1521" s="23"/>
    </row>
    <row r="1522" spans="20:20" hidden="1">
      <c r="T1522" s="23"/>
    </row>
    <row r="1523" spans="20:20" hidden="1">
      <c r="T1523" s="23"/>
    </row>
    <row r="1524" spans="20:20" hidden="1">
      <c r="T1524" s="23"/>
    </row>
    <row r="1525" spans="20:20" hidden="1">
      <c r="T1525" s="23"/>
    </row>
    <row r="1526" spans="20:20" hidden="1">
      <c r="T1526" s="23"/>
    </row>
    <row r="1527" spans="20:20" hidden="1">
      <c r="T1527" s="23"/>
    </row>
    <row r="1528" spans="20:20" hidden="1">
      <c r="T1528" s="23"/>
    </row>
    <row r="1529" spans="20:20" hidden="1">
      <c r="T1529" s="23"/>
    </row>
    <row r="1530" spans="20:20" hidden="1">
      <c r="T1530" s="23"/>
    </row>
    <row r="1531" spans="20:20" hidden="1">
      <c r="T1531" s="23"/>
    </row>
    <row r="1532" spans="20:20" hidden="1">
      <c r="T1532" s="23"/>
    </row>
    <row r="1533" spans="20:20" hidden="1">
      <c r="T1533" s="23"/>
    </row>
    <row r="1534" spans="20:20" hidden="1">
      <c r="T1534" s="23"/>
    </row>
    <row r="1535" spans="20:20" hidden="1">
      <c r="T1535" s="23"/>
    </row>
    <row r="1536" spans="20:20" hidden="1">
      <c r="T1536" s="23"/>
    </row>
    <row r="1537" spans="20:20" hidden="1">
      <c r="T1537" s="23"/>
    </row>
    <row r="1538" spans="20:20" hidden="1">
      <c r="T1538" s="23"/>
    </row>
    <row r="1539" spans="20:20" hidden="1">
      <c r="T1539" s="23"/>
    </row>
    <row r="1540" spans="20:20" hidden="1">
      <c r="T1540" s="23"/>
    </row>
    <row r="1541" spans="20:20" hidden="1">
      <c r="T1541" s="23"/>
    </row>
    <row r="1542" spans="20:20" hidden="1">
      <c r="T1542" s="23"/>
    </row>
    <row r="1543" spans="20:20" hidden="1">
      <c r="T1543" s="23"/>
    </row>
    <row r="1544" spans="20:20" hidden="1">
      <c r="T1544" s="23"/>
    </row>
    <row r="1545" spans="20:20" hidden="1">
      <c r="T1545" s="23"/>
    </row>
    <row r="1546" spans="20:20" hidden="1">
      <c r="T1546" s="23"/>
    </row>
    <row r="1547" spans="20:20" hidden="1">
      <c r="T1547" s="23"/>
    </row>
    <row r="1548" spans="20:20" hidden="1">
      <c r="T1548" s="23"/>
    </row>
    <row r="1549" spans="20:20" hidden="1">
      <c r="T1549" s="23"/>
    </row>
    <row r="1550" spans="20:20" hidden="1">
      <c r="T1550" s="23"/>
    </row>
    <row r="1551" spans="20:20" hidden="1">
      <c r="T1551" s="23"/>
    </row>
    <row r="1552" spans="20:20" hidden="1">
      <c r="T1552" s="23"/>
    </row>
    <row r="1553" spans="20:20" hidden="1">
      <c r="T1553" s="23"/>
    </row>
    <row r="1554" spans="20:20" hidden="1">
      <c r="T1554" s="23"/>
    </row>
    <row r="1555" spans="20:20" hidden="1">
      <c r="T1555" s="23"/>
    </row>
    <row r="1556" spans="20:20" hidden="1">
      <c r="T1556" s="23"/>
    </row>
    <row r="1557" spans="20:20" hidden="1">
      <c r="T1557" s="23"/>
    </row>
    <row r="1558" spans="20:20" hidden="1">
      <c r="T1558" s="23"/>
    </row>
    <row r="1559" spans="20:20" hidden="1">
      <c r="T1559" s="23"/>
    </row>
    <row r="1560" spans="20:20" hidden="1">
      <c r="T1560" s="23"/>
    </row>
    <row r="1561" spans="20:20" hidden="1">
      <c r="T1561" s="23"/>
    </row>
    <row r="1562" spans="20:20" hidden="1">
      <c r="T1562" s="23"/>
    </row>
    <row r="1563" spans="20:20" hidden="1">
      <c r="T1563" s="23"/>
    </row>
    <row r="1564" spans="20:20" hidden="1">
      <c r="T1564" s="23"/>
    </row>
    <row r="1565" spans="20:20" hidden="1">
      <c r="T1565" s="23"/>
    </row>
    <row r="1566" spans="20:20" hidden="1">
      <c r="T1566" s="23"/>
    </row>
    <row r="1567" spans="20:20" hidden="1">
      <c r="T1567" s="23"/>
    </row>
    <row r="1568" spans="20:20" hidden="1">
      <c r="T1568" s="23"/>
    </row>
    <row r="1569" spans="20:20" hidden="1">
      <c r="T1569" s="23"/>
    </row>
    <row r="1570" spans="20:20" hidden="1">
      <c r="T1570" s="23"/>
    </row>
    <row r="1571" spans="20:20" hidden="1">
      <c r="T1571" s="23"/>
    </row>
    <row r="1572" spans="20:20" hidden="1">
      <c r="T1572" s="23"/>
    </row>
    <row r="1573" spans="20:20" hidden="1">
      <c r="T1573" s="23"/>
    </row>
    <row r="1574" spans="20:20" hidden="1">
      <c r="T1574" s="23"/>
    </row>
    <row r="1575" spans="20:20" hidden="1">
      <c r="T1575" s="23"/>
    </row>
    <row r="1576" spans="20:20" hidden="1">
      <c r="T1576" s="23"/>
    </row>
    <row r="1577" spans="20:20" hidden="1">
      <c r="T1577" s="23"/>
    </row>
    <row r="1578" spans="20:20" hidden="1">
      <c r="T1578" s="23"/>
    </row>
    <row r="1579" spans="20:20" hidden="1">
      <c r="T1579" s="23"/>
    </row>
    <row r="1580" spans="20:20" hidden="1">
      <c r="T1580" s="23"/>
    </row>
    <row r="1581" spans="20:20" hidden="1">
      <c r="T1581" s="23"/>
    </row>
    <row r="1582" spans="20:20" hidden="1">
      <c r="T1582" s="23"/>
    </row>
    <row r="1583" spans="20:20" hidden="1">
      <c r="T1583" s="23"/>
    </row>
    <row r="1584" spans="20:20" hidden="1">
      <c r="T1584" s="23"/>
    </row>
    <row r="1585" spans="20:20" hidden="1">
      <c r="T1585" s="23"/>
    </row>
    <row r="1586" spans="20:20" hidden="1">
      <c r="T1586" s="23"/>
    </row>
    <row r="1587" spans="20:20" hidden="1">
      <c r="T1587" s="23"/>
    </row>
    <row r="1588" spans="20:20" hidden="1">
      <c r="T1588" s="23"/>
    </row>
    <row r="1589" spans="20:20" hidden="1">
      <c r="T1589" s="23"/>
    </row>
    <row r="1590" spans="20:20" hidden="1">
      <c r="T1590" s="23"/>
    </row>
    <row r="1591" spans="20:20" hidden="1">
      <c r="T1591" s="23"/>
    </row>
    <row r="1592" spans="20:20" hidden="1">
      <c r="T1592" s="23"/>
    </row>
    <row r="1593" spans="20:20" hidden="1">
      <c r="T1593" s="23"/>
    </row>
    <row r="1594" spans="20:20" hidden="1">
      <c r="T1594" s="23"/>
    </row>
    <row r="1595" spans="20:20" hidden="1">
      <c r="T1595" s="23"/>
    </row>
    <row r="1596" spans="20:20" hidden="1">
      <c r="T1596" s="23"/>
    </row>
    <row r="1597" spans="20:20" hidden="1">
      <c r="T1597" s="23"/>
    </row>
    <row r="1598" spans="20:20" hidden="1">
      <c r="T1598" s="23"/>
    </row>
    <row r="1599" spans="20:20" hidden="1">
      <c r="T1599" s="23"/>
    </row>
    <row r="1600" spans="20:20" hidden="1">
      <c r="T1600" s="23"/>
    </row>
    <row r="1601" spans="20:20" hidden="1">
      <c r="T1601" s="23"/>
    </row>
    <row r="1602" spans="20:20" hidden="1">
      <c r="T1602" s="23"/>
    </row>
    <row r="1603" spans="20:20" hidden="1">
      <c r="T1603" s="23"/>
    </row>
    <row r="1604" spans="20:20" hidden="1">
      <c r="T1604" s="23"/>
    </row>
    <row r="1605" spans="20:20" hidden="1">
      <c r="T1605" s="23"/>
    </row>
    <row r="1606" spans="20:20" hidden="1">
      <c r="T1606" s="23"/>
    </row>
    <row r="1607" spans="20:20" hidden="1">
      <c r="T1607" s="23"/>
    </row>
    <row r="1608" spans="20:20" hidden="1">
      <c r="T1608" s="23"/>
    </row>
    <row r="1609" spans="20:20" hidden="1">
      <c r="T1609" s="23"/>
    </row>
    <row r="1610" spans="20:20" hidden="1">
      <c r="T1610" s="23"/>
    </row>
    <row r="1611" spans="20:20" hidden="1">
      <c r="T1611" s="23"/>
    </row>
    <row r="1612" spans="20:20" hidden="1">
      <c r="T1612" s="23"/>
    </row>
    <row r="1613" spans="20:20" hidden="1">
      <c r="T1613" s="23"/>
    </row>
    <row r="1614" spans="20:20" hidden="1">
      <c r="T1614" s="23"/>
    </row>
    <row r="1615" spans="20:20" hidden="1">
      <c r="T1615" s="23"/>
    </row>
    <row r="1616" spans="20:20" hidden="1">
      <c r="T1616" s="23"/>
    </row>
    <row r="1617" spans="20:20" hidden="1">
      <c r="T1617" s="23"/>
    </row>
    <row r="1618" spans="20:20" hidden="1">
      <c r="T1618" s="23"/>
    </row>
    <row r="1619" spans="20:20" hidden="1">
      <c r="T1619" s="23"/>
    </row>
    <row r="1620" spans="20:20" hidden="1">
      <c r="T1620" s="23"/>
    </row>
    <row r="1621" spans="20:20" hidden="1">
      <c r="T1621" s="23"/>
    </row>
    <row r="1622" spans="20:20" hidden="1">
      <c r="T1622" s="23"/>
    </row>
    <row r="1623" spans="20:20" hidden="1">
      <c r="T1623" s="23"/>
    </row>
    <row r="1624" spans="20:20" hidden="1">
      <c r="T1624" s="23"/>
    </row>
    <row r="1625" spans="20:20" hidden="1">
      <c r="T1625" s="23"/>
    </row>
    <row r="1626" spans="20:20" hidden="1">
      <c r="T1626" s="23"/>
    </row>
    <row r="1627" spans="20:20" hidden="1">
      <c r="T1627" s="23"/>
    </row>
    <row r="1628" spans="20:20" hidden="1">
      <c r="T1628" s="23"/>
    </row>
    <row r="1629" spans="20:20" hidden="1">
      <c r="T1629" s="23"/>
    </row>
    <row r="1630" spans="20:20" hidden="1">
      <c r="T1630" s="23"/>
    </row>
    <row r="1631" spans="20:20" hidden="1">
      <c r="T1631" s="23"/>
    </row>
    <row r="1632" spans="20:20" hidden="1">
      <c r="T1632" s="23"/>
    </row>
    <row r="1633" spans="20:20" hidden="1">
      <c r="T1633" s="23"/>
    </row>
    <row r="1634" spans="20:20" hidden="1">
      <c r="T1634" s="23"/>
    </row>
    <row r="1635" spans="20:20" hidden="1">
      <c r="T1635" s="23"/>
    </row>
    <row r="1636" spans="20:20" hidden="1">
      <c r="T1636" s="23"/>
    </row>
    <row r="1637" spans="20:20" hidden="1">
      <c r="T1637" s="23"/>
    </row>
    <row r="1638" spans="20:20" hidden="1">
      <c r="T1638" s="23"/>
    </row>
    <row r="1639" spans="20:20" hidden="1">
      <c r="T1639" s="23"/>
    </row>
    <row r="1640" spans="20:20" hidden="1">
      <c r="T1640" s="23"/>
    </row>
    <row r="1641" spans="20:20" hidden="1">
      <c r="T1641" s="23"/>
    </row>
    <row r="1642" spans="20:20" hidden="1">
      <c r="T1642" s="23"/>
    </row>
    <row r="1643" spans="20:20" hidden="1">
      <c r="T1643" s="23"/>
    </row>
    <row r="1644" spans="20:20" hidden="1">
      <c r="T1644" s="23"/>
    </row>
    <row r="1645" spans="20:20" hidden="1">
      <c r="T1645" s="23"/>
    </row>
    <row r="1646" spans="20:20" hidden="1">
      <c r="T1646" s="23"/>
    </row>
    <row r="1647" spans="20:20" hidden="1">
      <c r="T1647" s="23"/>
    </row>
    <row r="1648" spans="20:20" hidden="1">
      <c r="T1648" s="23"/>
    </row>
    <row r="1649" spans="20:20" hidden="1">
      <c r="T1649" s="23"/>
    </row>
    <row r="1650" spans="20:20" hidden="1">
      <c r="T1650" s="23"/>
    </row>
    <row r="1651" spans="20:20" hidden="1">
      <c r="T1651" s="23"/>
    </row>
    <row r="1652" spans="20:20" hidden="1">
      <c r="T1652" s="23"/>
    </row>
    <row r="1653" spans="20:20" hidden="1">
      <c r="T1653" s="23"/>
    </row>
    <row r="1654" spans="20:20" hidden="1">
      <c r="T1654" s="23"/>
    </row>
    <row r="1655" spans="20:20" hidden="1">
      <c r="T1655" s="23"/>
    </row>
    <row r="1656" spans="20:20" hidden="1">
      <c r="T1656" s="23"/>
    </row>
    <row r="1657" spans="20:20" hidden="1">
      <c r="T1657" s="23"/>
    </row>
    <row r="1658" spans="20:20" hidden="1">
      <c r="T1658" s="23"/>
    </row>
    <row r="1659" spans="20:20" hidden="1">
      <c r="T1659" s="23"/>
    </row>
    <row r="1660" spans="20:20" hidden="1">
      <c r="T1660" s="23"/>
    </row>
    <row r="1661" spans="20:20" hidden="1">
      <c r="T1661" s="23"/>
    </row>
    <row r="1662" spans="20:20" hidden="1">
      <c r="T1662" s="23"/>
    </row>
    <row r="1663" spans="20:20" hidden="1">
      <c r="T1663" s="23"/>
    </row>
    <row r="1664" spans="20:20" hidden="1">
      <c r="T1664" s="23"/>
    </row>
    <row r="1665" spans="20:20" hidden="1">
      <c r="T1665" s="23"/>
    </row>
    <row r="1666" spans="20:20" hidden="1">
      <c r="T1666" s="23"/>
    </row>
    <row r="1667" spans="20:20" hidden="1">
      <c r="T1667" s="23"/>
    </row>
    <row r="1668" spans="20:20" hidden="1">
      <c r="T1668" s="23"/>
    </row>
    <row r="1669" spans="20:20" hidden="1">
      <c r="T1669" s="23"/>
    </row>
    <row r="1670" spans="20:20" hidden="1">
      <c r="T1670" s="23"/>
    </row>
    <row r="1671" spans="20:20" hidden="1">
      <c r="T1671" s="23"/>
    </row>
    <row r="1672" spans="20:20" hidden="1">
      <c r="T1672" s="23"/>
    </row>
    <row r="1673" spans="20:20" hidden="1">
      <c r="T1673" s="23"/>
    </row>
    <row r="1674" spans="20:20" hidden="1">
      <c r="T1674" s="23"/>
    </row>
    <row r="1675" spans="20:20" hidden="1">
      <c r="T1675" s="23"/>
    </row>
    <row r="1676" spans="20:20" hidden="1">
      <c r="T1676" s="23"/>
    </row>
    <row r="1677" spans="20:20" hidden="1">
      <c r="T1677" s="23"/>
    </row>
    <row r="1678" spans="20:20" hidden="1">
      <c r="T1678" s="23"/>
    </row>
    <row r="1679" spans="20:20" hidden="1">
      <c r="T1679" s="23"/>
    </row>
    <row r="1680" spans="20:20" hidden="1">
      <c r="T1680" s="23"/>
    </row>
    <row r="1681" spans="20:20" hidden="1">
      <c r="T1681" s="23"/>
    </row>
    <row r="1682" spans="20:20" hidden="1">
      <c r="T1682" s="23"/>
    </row>
    <row r="1683" spans="20:20" hidden="1">
      <c r="T1683" s="23"/>
    </row>
    <row r="1684" spans="20:20" hidden="1">
      <c r="T1684" s="23"/>
    </row>
    <row r="1685" spans="20:20" hidden="1">
      <c r="T1685" s="23"/>
    </row>
    <row r="1686" spans="20:20" hidden="1">
      <c r="T1686" s="23"/>
    </row>
    <row r="1687" spans="20:20" hidden="1">
      <c r="T1687" s="23"/>
    </row>
    <row r="1688" spans="20:20" hidden="1">
      <c r="T1688" s="23"/>
    </row>
    <row r="1689" spans="20:20" hidden="1">
      <c r="T1689" s="23"/>
    </row>
    <row r="1690" spans="20:20" hidden="1">
      <c r="T1690" s="23"/>
    </row>
    <row r="1691" spans="20:20" hidden="1">
      <c r="T1691" s="23"/>
    </row>
    <row r="1692" spans="20:20" hidden="1">
      <c r="T1692" s="23"/>
    </row>
    <row r="1693" spans="20:20" hidden="1">
      <c r="T1693" s="23"/>
    </row>
    <row r="1694" spans="20:20" hidden="1">
      <c r="T1694" s="23"/>
    </row>
    <row r="1695" spans="20:20" hidden="1">
      <c r="T1695" s="23"/>
    </row>
    <row r="1696" spans="20:20" hidden="1">
      <c r="T1696" s="23"/>
    </row>
    <row r="1697" spans="20:20" hidden="1">
      <c r="T1697" s="23"/>
    </row>
    <row r="1698" spans="20:20" hidden="1">
      <c r="T1698" s="23"/>
    </row>
    <row r="1699" spans="20:20" hidden="1">
      <c r="T1699" s="23"/>
    </row>
    <row r="1700" spans="20:20" hidden="1">
      <c r="T1700" s="23"/>
    </row>
    <row r="1701" spans="20:20" hidden="1">
      <c r="T1701" s="23"/>
    </row>
    <row r="1702" spans="20:20" hidden="1">
      <c r="T1702" s="23"/>
    </row>
    <row r="1703" spans="20:20" hidden="1">
      <c r="T1703" s="23"/>
    </row>
    <row r="1704" spans="20:20" hidden="1">
      <c r="T1704" s="23"/>
    </row>
    <row r="1705" spans="20:20" hidden="1">
      <c r="T1705" s="23"/>
    </row>
    <row r="1706" spans="20:20" hidden="1">
      <c r="T1706" s="23"/>
    </row>
    <row r="1707" spans="20:20" hidden="1">
      <c r="T1707" s="23"/>
    </row>
    <row r="1708" spans="20:20" hidden="1">
      <c r="T1708" s="23"/>
    </row>
    <row r="1709" spans="20:20" hidden="1">
      <c r="T1709" s="23"/>
    </row>
    <row r="1710" spans="20:20" hidden="1">
      <c r="T1710" s="23"/>
    </row>
    <row r="1711" spans="20:20" hidden="1">
      <c r="T1711" s="23"/>
    </row>
    <row r="1712" spans="20:20" hidden="1">
      <c r="T1712" s="23"/>
    </row>
    <row r="1713" spans="20:20" hidden="1">
      <c r="T1713" s="23"/>
    </row>
    <row r="1714" spans="20:20" hidden="1">
      <c r="T1714" s="23"/>
    </row>
    <row r="1715" spans="20:20" hidden="1">
      <c r="T1715" s="23"/>
    </row>
    <row r="1716" spans="20:20" hidden="1">
      <c r="T1716" s="23"/>
    </row>
    <row r="1717" spans="20:20" hidden="1">
      <c r="T1717" s="23"/>
    </row>
    <row r="1718" spans="20:20" hidden="1">
      <c r="T1718" s="23"/>
    </row>
    <row r="1719" spans="20:20" hidden="1">
      <c r="T1719" s="23"/>
    </row>
    <row r="1720" spans="20:20" hidden="1">
      <c r="T1720" s="23"/>
    </row>
    <row r="1721" spans="20:20" hidden="1">
      <c r="T1721" s="23"/>
    </row>
    <row r="1722" spans="20:20" hidden="1">
      <c r="T1722" s="23"/>
    </row>
    <row r="1723" spans="20:20" hidden="1">
      <c r="T1723" s="23"/>
    </row>
    <row r="1724" spans="20:20" hidden="1">
      <c r="T1724" s="23"/>
    </row>
    <row r="1725" spans="20:20" hidden="1">
      <c r="T1725" s="23"/>
    </row>
    <row r="1726" spans="20:20" hidden="1">
      <c r="T1726" s="23"/>
    </row>
    <row r="1727" spans="20:20" hidden="1">
      <c r="T1727" s="23"/>
    </row>
    <row r="1728" spans="20:20" hidden="1">
      <c r="T1728" s="23"/>
    </row>
    <row r="1729" spans="20:20" hidden="1">
      <c r="T1729" s="23"/>
    </row>
    <row r="1730" spans="20:20" hidden="1">
      <c r="T1730" s="23"/>
    </row>
    <row r="1731" spans="20:20" hidden="1">
      <c r="T1731" s="23"/>
    </row>
    <row r="1732" spans="20:20" hidden="1">
      <c r="T1732" s="23"/>
    </row>
    <row r="1733" spans="20:20" hidden="1">
      <c r="T1733" s="23"/>
    </row>
    <row r="1734" spans="20:20" hidden="1">
      <c r="T1734" s="23"/>
    </row>
    <row r="1735" spans="20:20" hidden="1">
      <c r="T1735" s="23"/>
    </row>
    <row r="1736" spans="20:20" hidden="1">
      <c r="T1736" s="23"/>
    </row>
    <row r="1737" spans="20:20" hidden="1">
      <c r="T1737" s="23"/>
    </row>
    <row r="1738" spans="20:20" hidden="1">
      <c r="T1738" s="23"/>
    </row>
    <row r="1739" spans="20:20" hidden="1">
      <c r="T1739" s="23"/>
    </row>
    <row r="1740" spans="20:20" hidden="1">
      <c r="T1740" s="23"/>
    </row>
    <row r="1741" spans="20:20" hidden="1">
      <c r="T1741" s="23"/>
    </row>
    <row r="1742" spans="20:20" hidden="1">
      <c r="T1742" s="23"/>
    </row>
    <row r="1743" spans="20:20" hidden="1">
      <c r="T1743" s="23"/>
    </row>
    <row r="1744" spans="20:20" hidden="1">
      <c r="T1744" s="23"/>
    </row>
    <row r="1745" spans="20:20" hidden="1">
      <c r="T1745" s="23"/>
    </row>
    <row r="1746" spans="20:20" hidden="1">
      <c r="T1746" s="23"/>
    </row>
    <row r="1747" spans="20:20" hidden="1">
      <c r="T1747" s="23"/>
    </row>
    <row r="1748" spans="20:20" hidden="1">
      <c r="T1748" s="23"/>
    </row>
    <row r="1749" spans="20:20" hidden="1">
      <c r="T1749" s="23"/>
    </row>
    <row r="1750" spans="20:20" hidden="1">
      <c r="T1750" s="23"/>
    </row>
    <row r="1751" spans="20:20" hidden="1">
      <c r="T1751" s="23"/>
    </row>
    <row r="1752" spans="20:20" hidden="1">
      <c r="T1752" s="23"/>
    </row>
    <row r="1753" spans="20:20" hidden="1">
      <c r="T1753" s="23"/>
    </row>
    <row r="1754" spans="20:20" hidden="1">
      <c r="T1754" s="23"/>
    </row>
    <row r="1755" spans="20:20" hidden="1">
      <c r="T1755" s="23"/>
    </row>
    <row r="1756" spans="20:20" hidden="1">
      <c r="T1756" s="23"/>
    </row>
    <row r="1757" spans="20:20" hidden="1">
      <c r="T1757" s="23"/>
    </row>
    <row r="1758" spans="20:20" hidden="1">
      <c r="T1758" s="23"/>
    </row>
    <row r="1759" spans="20:20" hidden="1">
      <c r="T1759" s="23"/>
    </row>
    <row r="1760" spans="20:20" hidden="1">
      <c r="T1760" s="23"/>
    </row>
    <row r="1761" spans="20:20" hidden="1">
      <c r="T1761" s="23"/>
    </row>
    <row r="1762" spans="20:20" hidden="1">
      <c r="T1762" s="23"/>
    </row>
    <row r="1763" spans="20:20" hidden="1">
      <c r="T1763" s="23"/>
    </row>
    <row r="1764" spans="20:20" hidden="1">
      <c r="T1764" s="23"/>
    </row>
    <row r="1765" spans="20:20" hidden="1">
      <c r="T1765" s="23"/>
    </row>
    <row r="1766" spans="20:20" hidden="1">
      <c r="T1766" s="23"/>
    </row>
    <row r="1767" spans="20:20" hidden="1">
      <c r="T1767" s="23"/>
    </row>
    <row r="1768" spans="20:20" hidden="1">
      <c r="T1768" s="23"/>
    </row>
    <row r="1769" spans="20:20" hidden="1">
      <c r="T1769" s="23"/>
    </row>
    <row r="1770" spans="20:20" hidden="1">
      <c r="T1770" s="23"/>
    </row>
    <row r="1771" spans="20:20" hidden="1">
      <c r="T1771" s="23"/>
    </row>
    <row r="1772" spans="20:20" hidden="1">
      <c r="T1772" s="23"/>
    </row>
    <row r="1773" spans="20:20" hidden="1">
      <c r="T1773" s="23"/>
    </row>
    <row r="1774" spans="20:20" hidden="1">
      <c r="T1774" s="23"/>
    </row>
    <row r="1775" spans="20:20" hidden="1">
      <c r="T1775" s="23"/>
    </row>
    <row r="1776" spans="20:20" hidden="1">
      <c r="T1776" s="23"/>
    </row>
    <row r="1777" spans="20:20" hidden="1">
      <c r="T1777" s="23"/>
    </row>
    <row r="1778" spans="20:20" hidden="1">
      <c r="T1778" s="23"/>
    </row>
    <row r="1779" spans="20:20" hidden="1">
      <c r="T1779" s="23"/>
    </row>
    <row r="1780" spans="20:20" hidden="1">
      <c r="T1780" s="23"/>
    </row>
    <row r="1781" spans="20:20" hidden="1">
      <c r="T1781" s="23"/>
    </row>
    <row r="1782" spans="20:20" hidden="1">
      <c r="T1782" s="23"/>
    </row>
    <row r="1783" spans="20:20" hidden="1">
      <c r="T1783" s="23"/>
    </row>
    <row r="1784" spans="20:20" hidden="1">
      <c r="T1784" s="23"/>
    </row>
    <row r="1785" spans="20:20" hidden="1">
      <c r="T1785" s="23"/>
    </row>
    <row r="1786" spans="20:20" hidden="1">
      <c r="T1786" s="23"/>
    </row>
    <row r="1787" spans="20:20" hidden="1">
      <c r="T1787" s="23"/>
    </row>
    <row r="1788" spans="20:20" hidden="1">
      <c r="T1788" s="23"/>
    </row>
    <row r="1789" spans="20:20" hidden="1">
      <c r="T1789" s="23"/>
    </row>
    <row r="1790" spans="20:20" hidden="1">
      <c r="T1790" s="23"/>
    </row>
    <row r="1791" spans="20:20" hidden="1">
      <c r="T1791" s="23"/>
    </row>
    <row r="1792" spans="20:20" hidden="1">
      <c r="T1792" s="23"/>
    </row>
    <row r="1793" spans="20:20" hidden="1">
      <c r="T1793" s="23"/>
    </row>
    <row r="1794" spans="20:20" hidden="1">
      <c r="T1794" s="23"/>
    </row>
    <row r="1795" spans="20:20" hidden="1">
      <c r="T1795" s="23"/>
    </row>
    <row r="1796" spans="20:20" hidden="1">
      <c r="T1796" s="23"/>
    </row>
    <row r="1797" spans="20:20" hidden="1">
      <c r="T1797" s="23"/>
    </row>
    <row r="1798" spans="20:20" hidden="1">
      <c r="T1798" s="23"/>
    </row>
    <row r="1799" spans="20:20" hidden="1">
      <c r="T1799" s="23"/>
    </row>
    <row r="1800" spans="20:20" hidden="1">
      <c r="T1800" s="23"/>
    </row>
    <row r="1801" spans="20:20" hidden="1">
      <c r="T1801" s="23"/>
    </row>
    <row r="1802" spans="20:20" hidden="1">
      <c r="T1802" s="23"/>
    </row>
    <row r="1803" spans="20:20" hidden="1">
      <c r="T1803" s="23"/>
    </row>
    <row r="1804" spans="20:20" hidden="1">
      <c r="T1804" s="23"/>
    </row>
    <row r="1805" spans="20:20" hidden="1">
      <c r="T1805" s="23"/>
    </row>
    <row r="1806" spans="20:20" hidden="1">
      <c r="T1806" s="23"/>
    </row>
    <row r="1807" spans="20:20" hidden="1">
      <c r="T1807" s="23"/>
    </row>
    <row r="1808" spans="20:20" hidden="1">
      <c r="T1808" s="23"/>
    </row>
    <row r="1809" spans="20:20" hidden="1">
      <c r="T1809" s="23"/>
    </row>
    <row r="1810" spans="20:20" hidden="1">
      <c r="T1810" s="23"/>
    </row>
    <row r="1811" spans="20:20" hidden="1">
      <c r="T1811" s="23"/>
    </row>
    <row r="1812" spans="20:20" hidden="1">
      <c r="T1812" s="23"/>
    </row>
    <row r="1813" spans="20:20" hidden="1">
      <c r="T1813" s="23"/>
    </row>
    <row r="1814" spans="20:20" hidden="1">
      <c r="T1814" s="23"/>
    </row>
    <row r="1815" spans="20:20" hidden="1">
      <c r="T1815" s="23"/>
    </row>
    <row r="1816" spans="20:20" hidden="1">
      <c r="T1816" s="23"/>
    </row>
    <row r="1817" spans="20:20" hidden="1">
      <c r="T1817" s="23"/>
    </row>
    <row r="1818" spans="20:20" hidden="1">
      <c r="T1818" s="23"/>
    </row>
    <row r="1819" spans="20:20" hidden="1">
      <c r="T1819" s="23"/>
    </row>
    <row r="1820" spans="20:20" hidden="1">
      <c r="T1820" s="23"/>
    </row>
    <row r="1821" spans="20:20" hidden="1">
      <c r="T1821" s="23"/>
    </row>
    <row r="1822" spans="20:20" hidden="1">
      <c r="T1822" s="23"/>
    </row>
    <row r="1823" spans="20:20" hidden="1">
      <c r="T1823" s="23"/>
    </row>
    <row r="1824" spans="20:20" hidden="1">
      <c r="T1824" s="23"/>
    </row>
    <row r="1825" spans="20:20" hidden="1">
      <c r="T1825" s="23"/>
    </row>
    <row r="1826" spans="20:20" hidden="1">
      <c r="T1826" s="23"/>
    </row>
    <row r="1827" spans="20:20" hidden="1">
      <c r="T1827" s="23"/>
    </row>
    <row r="1828" spans="20:20" hidden="1">
      <c r="T1828" s="23"/>
    </row>
    <row r="1829" spans="20:20" hidden="1">
      <c r="T1829" s="23"/>
    </row>
    <row r="1830" spans="20:20" hidden="1">
      <c r="T1830" s="23"/>
    </row>
    <row r="1831" spans="20:20" hidden="1">
      <c r="T1831" s="23"/>
    </row>
    <row r="1832" spans="20:20" hidden="1">
      <c r="T1832" s="23"/>
    </row>
    <row r="1833" spans="20:20" hidden="1">
      <c r="T1833" s="23"/>
    </row>
    <row r="1834" spans="20:20" hidden="1">
      <c r="T1834" s="23"/>
    </row>
    <row r="1835" spans="20:20" hidden="1">
      <c r="T1835" s="23"/>
    </row>
    <row r="1836" spans="20:20" hidden="1">
      <c r="T1836" s="23"/>
    </row>
    <row r="1837" spans="20:20" hidden="1">
      <c r="T1837" s="23"/>
    </row>
    <row r="1838" spans="20:20" hidden="1">
      <c r="T1838" s="23"/>
    </row>
    <row r="1839" spans="20:20" hidden="1">
      <c r="T1839" s="23"/>
    </row>
    <row r="1840" spans="20:20" hidden="1">
      <c r="T1840" s="23"/>
    </row>
    <row r="1841" spans="20:20" hidden="1">
      <c r="T1841" s="23"/>
    </row>
    <row r="1842" spans="20:20" hidden="1">
      <c r="T1842" s="23"/>
    </row>
    <row r="1843" spans="20:20" hidden="1">
      <c r="T1843" s="23"/>
    </row>
    <row r="1844" spans="20:20" hidden="1">
      <c r="T1844" s="23"/>
    </row>
    <row r="1845" spans="20:20" hidden="1">
      <c r="T1845" s="23"/>
    </row>
    <row r="1846" spans="20:20" hidden="1">
      <c r="T1846" s="23"/>
    </row>
    <row r="1847" spans="20:20" hidden="1">
      <c r="T1847" s="23"/>
    </row>
    <row r="1848" spans="20:20" hidden="1">
      <c r="T1848" s="23"/>
    </row>
    <row r="1849" spans="20:20" hidden="1">
      <c r="T1849" s="23"/>
    </row>
    <row r="1850" spans="20:20" hidden="1">
      <c r="T1850" s="23"/>
    </row>
    <row r="1851" spans="20:20" hidden="1">
      <c r="T1851" s="23"/>
    </row>
    <row r="1852" spans="20:20" hidden="1">
      <c r="T1852" s="23"/>
    </row>
    <row r="1853" spans="20:20" hidden="1">
      <c r="T1853" s="23"/>
    </row>
    <row r="1854" spans="20:20" hidden="1">
      <c r="T1854" s="23"/>
    </row>
    <row r="1855" spans="20:20" hidden="1">
      <c r="T1855" s="23"/>
    </row>
    <row r="1856" spans="20:20" hidden="1">
      <c r="T1856" s="23"/>
    </row>
    <row r="1857" spans="20:20" hidden="1">
      <c r="T1857" s="23"/>
    </row>
    <row r="1858" spans="20:20" hidden="1">
      <c r="T1858" s="23"/>
    </row>
    <row r="1859" spans="20:20" hidden="1">
      <c r="T1859" s="23"/>
    </row>
    <row r="1860" spans="20:20" hidden="1">
      <c r="T1860" s="23"/>
    </row>
    <row r="1861" spans="20:20" hidden="1">
      <c r="T1861" s="23"/>
    </row>
    <row r="1862" spans="20:20" hidden="1">
      <c r="T1862" s="23"/>
    </row>
    <row r="1863" spans="20:20" hidden="1">
      <c r="T1863" s="23"/>
    </row>
    <row r="1864" spans="20:20" hidden="1">
      <c r="T1864" s="23"/>
    </row>
    <row r="1865" spans="20:20" hidden="1">
      <c r="T1865" s="23"/>
    </row>
    <row r="1866" spans="20:20" hidden="1">
      <c r="T1866" s="23"/>
    </row>
    <row r="1867" spans="20:20" hidden="1">
      <c r="T1867" s="23"/>
    </row>
    <row r="1868" spans="20:20" hidden="1">
      <c r="T1868" s="23"/>
    </row>
    <row r="1869" spans="20:20" hidden="1">
      <c r="T1869" s="23"/>
    </row>
    <row r="1870" spans="20:20" hidden="1">
      <c r="T1870" s="23"/>
    </row>
    <row r="1871" spans="20:20" hidden="1">
      <c r="T1871" s="23"/>
    </row>
    <row r="1872" spans="20:20" hidden="1">
      <c r="T1872" s="23"/>
    </row>
    <row r="1873" spans="20:20" hidden="1">
      <c r="T1873" s="23"/>
    </row>
    <row r="1874" spans="20:20" hidden="1">
      <c r="T1874" s="23"/>
    </row>
    <row r="1875" spans="20:20" hidden="1">
      <c r="T1875" s="23"/>
    </row>
    <row r="1876" spans="20:20" hidden="1">
      <c r="T1876" s="23"/>
    </row>
    <row r="1877" spans="20:20" hidden="1">
      <c r="T1877" s="23"/>
    </row>
    <row r="1878" spans="20:20" hidden="1">
      <c r="T1878" s="23"/>
    </row>
    <row r="1879" spans="20:20" hidden="1">
      <c r="T1879" s="23"/>
    </row>
    <row r="1880" spans="20:20" hidden="1">
      <c r="T1880" s="23"/>
    </row>
    <row r="1881" spans="20:20" hidden="1">
      <c r="T1881" s="23"/>
    </row>
    <row r="1882" spans="20:20" hidden="1">
      <c r="T1882" s="23"/>
    </row>
    <row r="1883" spans="20:20" hidden="1">
      <c r="T1883" s="23"/>
    </row>
    <row r="1884" spans="20:20" hidden="1">
      <c r="T1884" s="23"/>
    </row>
    <row r="1885" spans="20:20" hidden="1">
      <c r="T1885" s="23"/>
    </row>
    <row r="1886" spans="20:20" hidden="1">
      <c r="T1886" s="23"/>
    </row>
    <row r="1887" spans="20:20" hidden="1">
      <c r="T1887" s="23"/>
    </row>
    <row r="1888" spans="20:20" hidden="1">
      <c r="T1888" s="23"/>
    </row>
    <row r="1889" spans="20:20" hidden="1">
      <c r="T1889" s="23"/>
    </row>
    <row r="1890" spans="20:20" hidden="1">
      <c r="T1890" s="23"/>
    </row>
    <row r="1891" spans="20:20" hidden="1">
      <c r="T1891" s="23"/>
    </row>
    <row r="1892" spans="20:20" hidden="1">
      <c r="T1892" s="23"/>
    </row>
    <row r="1893" spans="20:20" hidden="1">
      <c r="T1893" s="23"/>
    </row>
    <row r="1894" spans="20:20" hidden="1">
      <c r="T1894" s="23"/>
    </row>
    <row r="1895" spans="20:20" hidden="1">
      <c r="T1895" s="23"/>
    </row>
    <row r="1896" spans="20:20" hidden="1">
      <c r="T1896" s="23"/>
    </row>
    <row r="1897" spans="20:20" hidden="1">
      <c r="T1897" s="23"/>
    </row>
    <row r="1898" spans="20:20" hidden="1">
      <c r="T1898" s="23"/>
    </row>
    <row r="1899" spans="20:20" hidden="1">
      <c r="T1899" s="23"/>
    </row>
    <row r="1900" spans="20:20" hidden="1">
      <c r="T1900" s="23"/>
    </row>
    <row r="1901" spans="20:20" hidden="1">
      <c r="T1901" s="23"/>
    </row>
    <row r="1902" spans="20:20" hidden="1">
      <c r="T1902" s="23"/>
    </row>
    <row r="1903" spans="20:20" hidden="1">
      <c r="T1903" s="23"/>
    </row>
    <row r="1904" spans="20:20" hidden="1">
      <c r="T1904" s="23"/>
    </row>
    <row r="1905" spans="20:20" hidden="1">
      <c r="T1905" s="23"/>
    </row>
    <row r="1906" spans="20:20" hidden="1">
      <c r="T1906" s="23"/>
    </row>
    <row r="1907" spans="20:20" hidden="1">
      <c r="T1907" s="23"/>
    </row>
    <row r="1908" spans="20:20" hidden="1">
      <c r="T1908" s="23"/>
    </row>
    <row r="1909" spans="20:20" hidden="1">
      <c r="T1909" s="23"/>
    </row>
    <row r="1910" spans="20:20" hidden="1">
      <c r="T1910" s="23"/>
    </row>
    <row r="1911" spans="20:20" hidden="1">
      <c r="T1911" s="23"/>
    </row>
    <row r="1912" spans="20:20" hidden="1">
      <c r="T1912" s="23"/>
    </row>
    <row r="1913" spans="20:20" hidden="1">
      <c r="T1913" s="23"/>
    </row>
    <row r="1914" spans="20:20" hidden="1">
      <c r="T1914" s="23"/>
    </row>
    <row r="1915" spans="20:20" hidden="1">
      <c r="T1915" s="23"/>
    </row>
    <row r="1916" spans="20:20" hidden="1">
      <c r="T1916" s="23"/>
    </row>
    <row r="1917" spans="20:20" hidden="1">
      <c r="T1917" s="23"/>
    </row>
    <row r="1918" spans="20:20" hidden="1">
      <c r="T1918" s="23"/>
    </row>
    <row r="1919" spans="20:20" hidden="1">
      <c r="T1919" s="23"/>
    </row>
    <row r="1920" spans="20:20" hidden="1">
      <c r="T1920" s="23"/>
    </row>
    <row r="1921" spans="20:20" hidden="1">
      <c r="T1921" s="23"/>
    </row>
    <row r="1922" spans="20:20" hidden="1">
      <c r="T1922" s="23"/>
    </row>
    <row r="1923" spans="20:20" hidden="1">
      <c r="T1923" s="23"/>
    </row>
    <row r="1924" spans="20:20" hidden="1">
      <c r="T1924" s="23"/>
    </row>
    <row r="1925" spans="20:20" hidden="1">
      <c r="T1925" s="23"/>
    </row>
    <row r="1926" spans="20:20" hidden="1">
      <c r="T1926" s="23"/>
    </row>
    <row r="1927" spans="20:20" hidden="1">
      <c r="T1927" s="23"/>
    </row>
    <row r="1928" spans="20:20" hidden="1">
      <c r="T1928" s="23"/>
    </row>
    <row r="1929" spans="20:20" hidden="1">
      <c r="T1929" s="23"/>
    </row>
    <row r="1930" spans="20:20" hidden="1">
      <c r="T1930" s="23"/>
    </row>
    <row r="1931" spans="20:20" hidden="1">
      <c r="T1931" s="23"/>
    </row>
    <row r="1932" spans="20:20" hidden="1">
      <c r="T1932" s="23"/>
    </row>
    <row r="1933" spans="20:20" hidden="1">
      <c r="T1933" s="23"/>
    </row>
    <row r="1934" spans="20:20" hidden="1">
      <c r="T1934" s="23"/>
    </row>
    <row r="1935" spans="20:20" hidden="1">
      <c r="T1935" s="23"/>
    </row>
    <row r="1936" spans="20:20" hidden="1">
      <c r="T1936" s="23"/>
    </row>
    <row r="1937" spans="20:20" hidden="1">
      <c r="T1937" s="23"/>
    </row>
    <row r="1938" spans="20:20" hidden="1">
      <c r="T1938" s="23"/>
    </row>
    <row r="1939" spans="20:20" hidden="1">
      <c r="T1939" s="23"/>
    </row>
    <row r="1940" spans="20:20" hidden="1">
      <c r="T1940" s="23"/>
    </row>
    <row r="1941" spans="20:20" hidden="1">
      <c r="T1941" s="23"/>
    </row>
    <row r="1942" spans="20:20" hidden="1">
      <c r="T1942" s="23"/>
    </row>
    <row r="1943" spans="20:20" hidden="1">
      <c r="T1943" s="23"/>
    </row>
    <row r="1944" spans="20:20" hidden="1">
      <c r="T1944" s="23"/>
    </row>
    <row r="1945" spans="20:20" hidden="1">
      <c r="T1945" s="23"/>
    </row>
    <row r="1946" spans="20:20" hidden="1">
      <c r="T1946" s="23"/>
    </row>
    <row r="1947" spans="20:20" hidden="1">
      <c r="T1947" s="23"/>
    </row>
    <row r="1948" spans="20:20" hidden="1">
      <c r="T1948" s="23"/>
    </row>
    <row r="1949" spans="20:20" hidden="1">
      <c r="T1949" s="23"/>
    </row>
    <row r="1950" spans="20:20" hidden="1">
      <c r="T1950" s="23"/>
    </row>
    <row r="1951" spans="20:20" hidden="1">
      <c r="T1951" s="23"/>
    </row>
    <row r="1952" spans="20:20" hidden="1">
      <c r="T1952" s="23"/>
    </row>
    <row r="1953" spans="20:20" hidden="1">
      <c r="T1953" s="23"/>
    </row>
    <row r="1954" spans="20:20" hidden="1">
      <c r="T1954" s="23"/>
    </row>
    <row r="1955" spans="20:20" hidden="1">
      <c r="T1955" s="23"/>
    </row>
    <row r="1956" spans="20:20" hidden="1">
      <c r="T1956" s="23"/>
    </row>
    <row r="1957" spans="20:20" hidden="1">
      <c r="T1957" s="23"/>
    </row>
    <row r="1958" spans="20:20" hidden="1">
      <c r="T1958" s="23"/>
    </row>
    <row r="1959" spans="20:20" hidden="1">
      <c r="T1959" s="23"/>
    </row>
    <row r="1960" spans="20:20" hidden="1">
      <c r="T1960" s="23"/>
    </row>
    <row r="1961" spans="20:20" hidden="1">
      <c r="T1961" s="23"/>
    </row>
    <row r="1962" spans="20:20" hidden="1">
      <c r="T1962" s="23"/>
    </row>
    <row r="1963" spans="20:20" hidden="1">
      <c r="T1963" s="23"/>
    </row>
    <row r="1964" spans="20:20" hidden="1">
      <c r="T1964" s="23"/>
    </row>
    <row r="1965" spans="20:20" hidden="1">
      <c r="T1965" s="23"/>
    </row>
    <row r="1966" spans="20:20" hidden="1">
      <c r="T1966" s="23"/>
    </row>
    <row r="1967" spans="20:20" hidden="1">
      <c r="T1967" s="23"/>
    </row>
    <row r="1968" spans="20:20" hidden="1">
      <c r="T1968" s="23"/>
    </row>
    <row r="1969" spans="20:20" hidden="1">
      <c r="T1969" s="23"/>
    </row>
    <row r="1970" spans="20:20" hidden="1">
      <c r="T1970" s="23"/>
    </row>
    <row r="1971" spans="20:20" hidden="1">
      <c r="T1971" s="23"/>
    </row>
    <row r="1972" spans="20:20" hidden="1">
      <c r="T1972" s="23"/>
    </row>
    <row r="1973" spans="20:20" hidden="1">
      <c r="T1973" s="23"/>
    </row>
    <row r="1974" spans="20:20" hidden="1">
      <c r="T1974" s="23"/>
    </row>
    <row r="1975" spans="20:20" hidden="1">
      <c r="T1975" s="23"/>
    </row>
    <row r="1976" spans="20:20" hidden="1">
      <c r="T1976" s="23"/>
    </row>
    <row r="1977" spans="20:20" hidden="1">
      <c r="T1977" s="23"/>
    </row>
    <row r="1978" spans="20:20" hidden="1">
      <c r="T1978" s="23"/>
    </row>
    <row r="1979" spans="20:20" hidden="1">
      <c r="T1979" s="23"/>
    </row>
    <row r="1980" spans="20:20" hidden="1">
      <c r="T1980" s="23"/>
    </row>
    <row r="1981" spans="20:20" hidden="1">
      <c r="T1981" s="23"/>
    </row>
    <row r="1982" spans="20:20" hidden="1">
      <c r="T1982" s="23"/>
    </row>
    <row r="1983" spans="20:20" hidden="1">
      <c r="T1983" s="23"/>
    </row>
    <row r="1984" spans="20:20" hidden="1">
      <c r="T1984" s="23"/>
    </row>
    <row r="1985" spans="20:20" hidden="1">
      <c r="T1985" s="23"/>
    </row>
    <row r="1986" spans="20:20" hidden="1">
      <c r="T1986" s="23"/>
    </row>
    <row r="1987" spans="20:20" hidden="1">
      <c r="T1987" s="23"/>
    </row>
    <row r="1988" spans="20:20" hidden="1">
      <c r="T1988" s="23"/>
    </row>
    <row r="1989" spans="20:20" hidden="1">
      <c r="T1989" s="23"/>
    </row>
    <row r="1990" spans="20:20" hidden="1">
      <c r="T1990" s="23"/>
    </row>
    <row r="1991" spans="20:20" hidden="1">
      <c r="T1991" s="23"/>
    </row>
    <row r="1992" spans="20:20" hidden="1">
      <c r="T1992" s="23"/>
    </row>
    <row r="1993" spans="20:20" hidden="1">
      <c r="T1993" s="23"/>
    </row>
    <row r="1994" spans="20:20" hidden="1">
      <c r="T1994" s="23"/>
    </row>
    <row r="1995" spans="20:20" hidden="1">
      <c r="T1995" s="23"/>
    </row>
    <row r="1996" spans="20:20" hidden="1">
      <c r="T1996" s="23"/>
    </row>
    <row r="1997" spans="20:20" hidden="1">
      <c r="T1997" s="23"/>
    </row>
    <row r="1998" spans="20:20" hidden="1">
      <c r="T1998" s="23"/>
    </row>
    <row r="1999" spans="20:20" hidden="1">
      <c r="T1999" s="23"/>
    </row>
    <row r="2000" spans="20:20" hidden="1">
      <c r="T2000" s="23"/>
    </row>
    <row r="2001" spans="20:20" hidden="1">
      <c r="T2001" s="23"/>
    </row>
    <row r="2002" spans="20:20" hidden="1">
      <c r="T2002" s="23"/>
    </row>
    <row r="2003" spans="20:20" hidden="1">
      <c r="T2003" s="23"/>
    </row>
    <row r="2004" spans="20:20" hidden="1">
      <c r="T2004" s="23"/>
    </row>
    <row r="2005" spans="20:20" hidden="1">
      <c r="T2005" s="23"/>
    </row>
    <row r="2006" spans="20:20" hidden="1">
      <c r="T2006" s="23"/>
    </row>
    <row r="2007" spans="20:20" hidden="1">
      <c r="T2007" s="23"/>
    </row>
    <row r="2008" spans="20:20" hidden="1">
      <c r="T2008" s="23"/>
    </row>
    <row r="2009" spans="20:20" hidden="1">
      <c r="T2009" s="23"/>
    </row>
    <row r="2010" spans="20:20" hidden="1">
      <c r="T2010" s="23"/>
    </row>
    <row r="2011" spans="20:20" hidden="1">
      <c r="T2011" s="23"/>
    </row>
    <row r="2012" spans="20:20" hidden="1">
      <c r="T2012" s="23"/>
    </row>
    <row r="2013" spans="20:20" hidden="1">
      <c r="T2013" s="23"/>
    </row>
    <row r="2014" spans="20:20" hidden="1">
      <c r="T2014" s="23"/>
    </row>
    <row r="2015" spans="20:20" hidden="1">
      <c r="T2015" s="23"/>
    </row>
    <row r="2016" spans="20:20" hidden="1">
      <c r="T2016" s="23"/>
    </row>
    <row r="2017" spans="20:20" hidden="1">
      <c r="T2017" s="23"/>
    </row>
    <row r="2018" spans="20:20" hidden="1">
      <c r="T2018" s="23"/>
    </row>
    <row r="2019" spans="20:20" hidden="1">
      <c r="T2019" s="23"/>
    </row>
    <row r="2020" spans="20:20" hidden="1">
      <c r="T2020" s="23"/>
    </row>
    <row r="2021" spans="20:20" hidden="1">
      <c r="T2021" s="23"/>
    </row>
    <row r="2022" spans="20:20" hidden="1">
      <c r="T2022" s="23"/>
    </row>
    <row r="2023" spans="20:20" hidden="1">
      <c r="T2023" s="23"/>
    </row>
    <row r="2024" spans="20:20" hidden="1">
      <c r="T2024" s="23"/>
    </row>
    <row r="2025" spans="20:20" hidden="1">
      <c r="T2025" s="23"/>
    </row>
    <row r="2026" spans="20:20" hidden="1">
      <c r="T2026" s="23"/>
    </row>
    <row r="2027" spans="20:20" hidden="1">
      <c r="T2027" s="23"/>
    </row>
    <row r="2028" spans="20:20" hidden="1">
      <c r="T2028" s="23"/>
    </row>
    <row r="2029" spans="20:20" hidden="1">
      <c r="T2029" s="23"/>
    </row>
    <row r="2030" spans="20:20" hidden="1">
      <c r="T2030" s="23"/>
    </row>
    <row r="2031" spans="20:20" hidden="1">
      <c r="T2031" s="23"/>
    </row>
    <row r="2032" spans="20:20" hidden="1">
      <c r="T2032" s="23"/>
    </row>
    <row r="2033" spans="20:20" hidden="1">
      <c r="T2033" s="23"/>
    </row>
    <row r="2034" spans="20:20" hidden="1">
      <c r="T2034" s="23"/>
    </row>
    <row r="2035" spans="20:20" hidden="1">
      <c r="T2035" s="23"/>
    </row>
    <row r="2036" spans="20:20" hidden="1">
      <c r="T2036" s="23"/>
    </row>
    <row r="2037" spans="20:20" hidden="1">
      <c r="T2037" s="23"/>
    </row>
    <row r="2038" spans="20:20" hidden="1">
      <c r="T2038" s="23"/>
    </row>
    <row r="2039" spans="20:20" hidden="1">
      <c r="T2039" s="23"/>
    </row>
    <row r="2040" spans="20:20" hidden="1">
      <c r="T2040" s="23"/>
    </row>
    <row r="2041" spans="20:20" hidden="1">
      <c r="T2041" s="23"/>
    </row>
    <row r="2042" spans="20:20" hidden="1">
      <c r="T2042" s="23"/>
    </row>
    <row r="2043" spans="20:20" hidden="1">
      <c r="T2043" s="23"/>
    </row>
    <row r="2044" spans="20:20" hidden="1">
      <c r="T2044" s="23"/>
    </row>
    <row r="2045" spans="20:20" hidden="1">
      <c r="T2045" s="23"/>
    </row>
    <row r="2046" spans="20:20" hidden="1">
      <c r="T2046" s="23"/>
    </row>
    <row r="2047" spans="20:20" hidden="1">
      <c r="T2047" s="23"/>
    </row>
    <row r="2048" spans="20:20" hidden="1">
      <c r="T2048" s="23"/>
    </row>
    <row r="2049" spans="20:20" hidden="1">
      <c r="T2049" s="23"/>
    </row>
    <row r="2050" spans="20:20" hidden="1">
      <c r="T2050" s="23"/>
    </row>
    <row r="2051" spans="20:20" hidden="1">
      <c r="T2051" s="23"/>
    </row>
    <row r="2052" spans="20:20" hidden="1">
      <c r="T2052" s="23"/>
    </row>
    <row r="2053" spans="20:20" hidden="1">
      <c r="T2053" s="23"/>
    </row>
    <row r="2054" spans="20:20" hidden="1">
      <c r="T2054" s="23"/>
    </row>
    <row r="2055" spans="20:20" hidden="1">
      <c r="T2055" s="23"/>
    </row>
    <row r="2056" spans="20:20" hidden="1">
      <c r="T2056" s="23"/>
    </row>
    <row r="2057" spans="20:20" hidden="1">
      <c r="T2057" s="23"/>
    </row>
    <row r="2058" spans="20:20" hidden="1">
      <c r="T2058" s="23"/>
    </row>
    <row r="2059" spans="20:20" hidden="1">
      <c r="T2059" s="23"/>
    </row>
    <row r="2060" spans="20:20" hidden="1">
      <c r="T2060" s="23"/>
    </row>
    <row r="2061" spans="20:20" hidden="1">
      <c r="T2061" s="23"/>
    </row>
    <row r="2062" spans="20:20" hidden="1">
      <c r="T2062" s="23"/>
    </row>
    <row r="2063" spans="20:20" hidden="1">
      <c r="T2063" s="23"/>
    </row>
    <row r="2064" spans="20:20" hidden="1">
      <c r="T2064" s="23"/>
    </row>
    <row r="2065" spans="20:20" hidden="1">
      <c r="T2065" s="23"/>
    </row>
    <row r="2066" spans="20:20" hidden="1">
      <c r="T2066" s="23"/>
    </row>
    <row r="2067" spans="20:20" hidden="1">
      <c r="T2067" s="23"/>
    </row>
    <row r="2068" spans="20:20" hidden="1">
      <c r="T2068" s="23"/>
    </row>
    <row r="2069" spans="20:20" hidden="1">
      <c r="T2069" s="23"/>
    </row>
    <row r="2070" spans="20:20" hidden="1">
      <c r="T2070" s="23"/>
    </row>
    <row r="2071" spans="20:20" hidden="1">
      <c r="T2071" s="23"/>
    </row>
    <row r="2072" spans="20:20" hidden="1">
      <c r="T2072" s="23"/>
    </row>
    <row r="2073" spans="20:20">
      <c r="T2073" s="23"/>
    </row>
    <row r="2074" spans="20:20">
      <c r="T2074" s="23"/>
    </row>
    <row r="2075" spans="20:20">
      <c r="T2075" s="23"/>
    </row>
    <row r="2076" spans="20:20">
      <c r="T2076" s="23"/>
    </row>
    <row r="2077" spans="20:20">
      <c r="T2077" s="23"/>
    </row>
    <row r="2078" spans="20:20">
      <c r="T2078" s="23"/>
    </row>
    <row r="2079" spans="20:20">
      <c r="T2079" s="23"/>
    </row>
    <row r="2080" spans="20:20">
      <c r="T2080" s="23"/>
    </row>
    <row r="2081" spans="20:20">
      <c r="T2081" s="23"/>
    </row>
    <row r="2082" spans="20:20">
      <c r="T2082" s="23"/>
    </row>
    <row r="2083" spans="20:20">
      <c r="T2083" s="23"/>
    </row>
    <row r="2084" spans="20:20">
      <c r="T2084" s="23"/>
    </row>
    <row r="2085" spans="20:20">
      <c r="T2085" s="23"/>
    </row>
    <row r="2086" spans="20:20">
      <c r="T2086" s="23"/>
    </row>
    <row r="2087" spans="20:20">
      <c r="T2087" s="23"/>
    </row>
    <row r="2088" spans="20:20">
      <c r="T2088" s="23"/>
    </row>
    <row r="2089" spans="20:20">
      <c r="T2089" s="23"/>
    </row>
    <row r="2090" spans="20:20">
      <c r="T2090" s="23"/>
    </row>
    <row r="2091" spans="20:20">
      <c r="T2091" s="23"/>
    </row>
    <row r="2092" spans="20:20">
      <c r="T2092" s="23"/>
    </row>
    <row r="2093" spans="20:20">
      <c r="T2093" s="23"/>
    </row>
    <row r="2094" spans="20:20">
      <c r="T2094" s="23"/>
    </row>
    <row r="2095" spans="20:20">
      <c r="T2095" s="23"/>
    </row>
    <row r="2096" spans="20:20">
      <c r="T2096" s="23"/>
    </row>
    <row r="2097" spans="20:20">
      <c r="T2097" s="23"/>
    </row>
    <row r="2098" spans="20:20">
      <c r="T2098" s="23"/>
    </row>
    <row r="2099" spans="20:20">
      <c r="T2099" s="23"/>
    </row>
    <row r="2100" spans="20:20">
      <c r="T2100" s="23"/>
    </row>
  </sheetData>
  <mergeCells count="2">
    <mergeCell ref="AC3:AD3"/>
    <mergeCell ref="AE3:AF3"/>
  </mergeCells>
  <phoneticPr fontId="0" type="noConversion"/>
  <printOptions gridLines="1"/>
  <pageMargins left="0.75" right="0.31" top="0.5" bottom="0.5" header="0.5" footer="0.5"/>
  <pageSetup scale="70" orientation="portrait" r:id="rId1"/>
  <headerFooter alignWithMargins="0"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Trial Balance</vt:lpstr>
      <vt:lpstr>'Trial Balance'!Print_Area</vt:lpstr>
      <vt:lpstr>'Trial Balance'!Print_Titles</vt:lpstr>
    </vt:vector>
  </TitlesOfParts>
  <Company>San Mateo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dmahar</dc:creator>
  <cp:lastModifiedBy>Jenna Janus</cp:lastModifiedBy>
  <cp:lastPrinted>2009-09-29T18:38:49Z</cp:lastPrinted>
  <dcterms:created xsi:type="dcterms:W3CDTF">2007-09-30T19:29:34Z</dcterms:created>
  <dcterms:modified xsi:type="dcterms:W3CDTF">2018-12-18T23:40:15Z</dcterms:modified>
</cp:coreProperties>
</file>